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95" yWindow="65461" windowWidth="14445" windowHeight="11640" tabRatio="802" activeTab="6"/>
  </bookViews>
  <sheets>
    <sheet name="Лист1" sheetId="1" r:id="rId1"/>
    <sheet name="1.Исходные данные для ИБР" sheetId="2" r:id="rId2"/>
    <sheet name="2. Расчет_уд_вес_расх2010" sheetId="3" r:id="rId3"/>
    <sheet name="3. ИБР" sheetId="4" r:id="rId4"/>
    <sheet name="4. ИНП" sheetId="5" r:id="rId5"/>
    <sheet name="Расходы поселений" sheetId="6" r:id="rId6"/>
    <sheet name="5. ФФПП" sheetId="7" r:id="rId7"/>
  </sheets>
  <externalReferences>
    <externalReference r:id="rId10"/>
    <externalReference r:id="rId11"/>
    <externalReference r:id="rId12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дох" hidden="1">'[1]NED97'!#REF!</definedName>
    <definedName name="доходы" hidden="1">'[1]NED97'!#REF!</definedName>
    <definedName name="_xlnm.Print_Titles" localSheetId="1">'1.Исходные данные для ИБР'!$A:$B</definedName>
    <definedName name="_xlnm.Print_Titles" localSheetId="3">'3. ИБР'!$A:$B</definedName>
    <definedName name="_xlnm.Print_Titles" localSheetId="4">'4. ИНП'!$A:$B</definedName>
    <definedName name="люба" hidden="1">'[1]NED97'!#REF!</definedName>
    <definedName name="_xlnm.Print_Area" localSheetId="1">'1.Исходные данные для ИБР'!$A$1:$F$12</definedName>
    <definedName name="_xlnm.Print_Area" localSheetId="2">'2. Расчет_уд_вес_расх2010'!$A$2:$P$4</definedName>
    <definedName name="_xlnm.Print_Area" localSheetId="3">'3. ИБР'!$A$1:$Y$11</definedName>
    <definedName name="_xlnm.Print_Area" localSheetId="4">'4. ИНП'!$A$1:$R$10</definedName>
    <definedName name="_xlnm.Print_Area" localSheetId="6">'5. ФФПП'!$A$2:$V$10</definedName>
    <definedName name="_xlnm.Print_Area" localSheetId="5">'Расходы поселений'!$A$1:$AV$18</definedName>
    <definedName name="Область_печати_ИМ">#REF!</definedName>
    <definedName name="ророо" hidden="1">'[3]NED97'!#REF!</definedName>
  </definedNames>
  <calcPr fullCalcOnLoad="1"/>
</workbook>
</file>

<file path=xl/sharedStrings.xml><?xml version="1.0" encoding="utf-8"?>
<sst xmlns="http://schemas.openxmlformats.org/spreadsheetml/2006/main" count="212" uniqueCount="120">
  <si>
    <t>Итого:</t>
  </si>
  <si>
    <t>№</t>
  </si>
  <si>
    <t>ИБР</t>
  </si>
  <si>
    <t>х</t>
  </si>
  <si>
    <t>Налоговый потенциал по налогу на доходы физических лиц</t>
  </si>
  <si>
    <t>Коэффициент масштаба</t>
  </si>
  <si>
    <t>Наименование муниципальных районов и городских округов</t>
  </si>
  <si>
    <t>Расходы на содержание органов местного самоуправления</t>
  </si>
  <si>
    <t>численность - тыс. человек</t>
  </si>
  <si>
    <t>Налоговый потенциал по налогу на имущество физических лиц</t>
  </si>
  <si>
    <t>Налоговый потенциал по земельному налогу</t>
  </si>
  <si>
    <t>Т (J) (Объем средств, необходимый для доведения бюджетной обеспеченности до установленного уровня)</t>
  </si>
  <si>
    <t>Расходы на благоустройство</t>
  </si>
  <si>
    <t>Благоустройство</t>
  </si>
  <si>
    <t xml:space="preserve"> Всего расходы</t>
  </si>
  <si>
    <t>Управление</t>
  </si>
  <si>
    <t>Налоговые и неналоговые доходы + дотация из районного фонда финансовой поддержки поселений</t>
  </si>
  <si>
    <t>Наименование поселений</t>
  </si>
  <si>
    <t>Объем районного фонда финансовой поддеркжи поселений за счет собственных средств</t>
  </si>
  <si>
    <t>Дефицит бюджетов поселений</t>
  </si>
  <si>
    <t>Норматив отчислений в  бюджет поселений, %</t>
  </si>
  <si>
    <t>Налоговый потенциал поселений</t>
  </si>
  <si>
    <t>Индекс налогового потенциала поселений</t>
  </si>
  <si>
    <t>Средняя численность населения поселений</t>
  </si>
  <si>
    <t>Индекс бюджетных расходов поселения</t>
  </si>
  <si>
    <t xml:space="preserve"> Уд.вес расходов на содержание органов местного самоуправления</t>
  </si>
  <si>
    <t>Уд.вес расходов на благоустройство</t>
  </si>
  <si>
    <t>ИТОГО</t>
  </si>
  <si>
    <t>Наименование статьи</t>
  </si>
  <si>
    <t>Итого</t>
  </si>
  <si>
    <t>0104</t>
  </si>
  <si>
    <t>0503</t>
  </si>
  <si>
    <t xml:space="preserve">Оплата труда всего </t>
  </si>
  <si>
    <t>вт.ч. зар. пл.       211</t>
  </si>
  <si>
    <t>начислен.           213</t>
  </si>
  <si>
    <t>Коммунальные услуги  223</t>
  </si>
  <si>
    <t>в т.ч. Электроэнергия 001</t>
  </si>
  <si>
    <t>Теплоэнергия 002</t>
  </si>
  <si>
    <t>Прочие коммун услуги  003</t>
  </si>
  <si>
    <t>Котельно-печное топливо</t>
  </si>
  <si>
    <t>Капитальные расходы</t>
  </si>
  <si>
    <t>в т.ч. капитальный ремонт</t>
  </si>
  <si>
    <t>приобретение оборудования</t>
  </si>
  <si>
    <t>Прочие расходы</t>
  </si>
  <si>
    <t>Собственные доходы поселений</t>
  </si>
  <si>
    <t>Субвенция из областного бюджета</t>
  </si>
  <si>
    <t>%</t>
  </si>
  <si>
    <t>Норматив расхода на благоустройство на одного жителя городского поселения, руб в год/человека</t>
  </si>
  <si>
    <t>Норматив расхода на благоустройство на одного жителя сельского поселения руб в год/человека</t>
  </si>
  <si>
    <t>Коэффициент стоимости муниципальных услуг</t>
  </si>
  <si>
    <t>Удельный вес расходов на выплату заработной платы с начислениями в общей сумме расходов на исполнение собственных полномочий, а1</t>
  </si>
  <si>
    <t>Удельный вес расходов на оплату коммунальных услуг в общей сумме расходов на исполнение собственных полномочий, а2</t>
  </si>
  <si>
    <t>Коэффициент структуры потребителей муниципальных услуг</t>
  </si>
  <si>
    <t>доля соответствующих видов расходов поселений в общей сумме расходов поселений в 2012 году</t>
  </si>
  <si>
    <t>ИНП</t>
  </si>
  <si>
    <t>Показатель, характеризующий налоговый потенциал по НИФЛ</t>
  </si>
  <si>
    <t>Показатель, характеризующий налоговый потенциал по ЗН</t>
  </si>
  <si>
    <t xml:space="preserve">Межбюджетные трансферты поселениям </t>
  </si>
  <si>
    <t>Коэффициент заработной платы</t>
  </si>
  <si>
    <t>Коэффициент стоимости коммунальных услуг</t>
  </si>
  <si>
    <t>Коэффициент влияния удельного веса сельского населения, d</t>
  </si>
  <si>
    <t>Объем иных межбюджетных трансфертов на поддержку мер по обеспечению сбалансированности бюджетов поселений</t>
  </si>
  <si>
    <t>Шудский с/с</t>
  </si>
  <si>
    <t>Богородский с/с</t>
  </si>
  <si>
    <t>Варнавинская п/а</t>
  </si>
  <si>
    <t>Восходовский с/с</t>
  </si>
  <si>
    <t>Михаленинский с/с</t>
  </si>
  <si>
    <t>Северный с/с</t>
  </si>
  <si>
    <t>Шудский</t>
  </si>
  <si>
    <t>Богородский</t>
  </si>
  <si>
    <t>Варнавино</t>
  </si>
  <si>
    <t>й</t>
  </si>
  <si>
    <t>Восходовский</t>
  </si>
  <si>
    <t>Михаленино</t>
  </si>
  <si>
    <t>Северный</t>
  </si>
  <si>
    <t>0310</t>
  </si>
  <si>
    <t>0801</t>
  </si>
  <si>
    <t>0503 у</t>
  </si>
  <si>
    <t>0503у</t>
  </si>
  <si>
    <t>Расходы на содержание пожарной охраны</t>
  </si>
  <si>
    <t>Расходы на уличное освещение</t>
  </si>
  <si>
    <t>Уд.вес расходов на содержание пожарной охраны</t>
  </si>
  <si>
    <t>Уд.вес расходов на уличное освещение</t>
  </si>
  <si>
    <t>Пожарки</t>
  </si>
  <si>
    <t>Уличное освещение</t>
  </si>
  <si>
    <t>Средний объем  потребляемой электроэнергии по уличному освещению на 2012 год</t>
  </si>
  <si>
    <t xml:space="preserve"> расход на благоустройство на одного жителя сельского поселения руб в год/человека</t>
  </si>
  <si>
    <t xml:space="preserve"> расход на благоустройство на одного жителя городского поселения, руб в год/человека</t>
  </si>
  <si>
    <t>средний объем</t>
  </si>
  <si>
    <t>0409</t>
  </si>
  <si>
    <t>Дороги</t>
  </si>
  <si>
    <t xml:space="preserve">Распределение межбюджетных трансфертов бюджтам </t>
  </si>
  <si>
    <t>Расчетная бюджетная обеспеченность</t>
  </si>
  <si>
    <t>затраты на тепловую энергию</t>
  </si>
  <si>
    <t>Средняя стоимость потребляемой теплоэнергии</t>
  </si>
  <si>
    <t>прочие</t>
  </si>
  <si>
    <t xml:space="preserve">Лимиты n/энергии , тыс.КВт </t>
  </si>
  <si>
    <t>Коэффициент удельного веса сельского населения поселения</t>
  </si>
  <si>
    <t>Прочие</t>
  </si>
  <si>
    <t>Численность постоянного населения на 01.01.20</t>
  </si>
  <si>
    <t>Прогноз налога на доходы физических лиц на 2020год по району</t>
  </si>
  <si>
    <t>Прогноз земельного налога в  бюджет на 2021 год по району</t>
  </si>
  <si>
    <t>Прогноз налога на имущество физических лиц  на 2021 год по району</t>
  </si>
  <si>
    <t>Фонд оплаты труда в целом по экономике за 2019 год</t>
  </si>
  <si>
    <t>Численность постоянного населения 
 01.01.20</t>
  </si>
  <si>
    <t>Прогноз по поселениям на 2022 год</t>
  </si>
  <si>
    <t>Всего расчетная сумма расходов на 2022 год</t>
  </si>
  <si>
    <t xml:space="preserve">Расчет индекса бюджетных расходов поселений для распределения районного фонда финансовой поддержки поселений на 2022 год  </t>
  </si>
  <si>
    <t>Расчет индекса налогового потенциала поселений для распределения районного фонда финансовой поддержки поселений на 2022год</t>
  </si>
  <si>
    <t>Расходы поселений 2022</t>
  </si>
  <si>
    <t>Численность постоянного населения  на 01.01.21</t>
  </si>
  <si>
    <t>Расчет распределения межбюджетных трансфертов между поселениями Варнавинского района на   2022 год</t>
  </si>
  <si>
    <t>Численность постоянного населения на 01.01.21</t>
  </si>
  <si>
    <t>Налоговые и неналоговые доходы  бюджетов поселений на 2022 год</t>
  </si>
  <si>
    <t>Дотации из районного фонда финансовой поддержки поселений на 2022год за счет субвенции из областного бюджета</t>
  </si>
  <si>
    <t>Всего доходов с учетом дотаций из районного фонда финансовой поддержки поселений на 2022 год за счет субвенции из областного бюджета</t>
  </si>
  <si>
    <t>Объем дотации из районного фонда финансовой поддержки поселений на 2022 год за счет собственных средств</t>
  </si>
  <si>
    <t>Расчетная потребность в расходах поселений на 2022 год</t>
  </si>
  <si>
    <t>поселений Варнавинского района на 2022 год</t>
  </si>
  <si>
    <t>Расчет удельного веса расходов поселений на 2022 год в общей сумме расходов поселений на 2022 год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</si>
</sst>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000"/>
    <numFmt numFmtId="167" formatCode="0.000"/>
    <numFmt numFmtId="168" formatCode="0.0"/>
    <numFmt numFmtId="169" formatCode="#,##0.0000"/>
    <numFmt numFmtId="170" formatCode="#,##0.000000"/>
    <numFmt numFmtId="171" formatCode="_-* #,##0\ _р_._-;\-* #,##0\ _р_._-;_-* &quot;-&quot;\ _р_._-;_-@_-"/>
    <numFmt numFmtId="172" formatCode="_-* #,##0.00\ _р_._-;\-* #,##0.00\ _р_._-;_-* &quot;-&quot;??\ _р_._-;_-@_-"/>
    <numFmt numFmtId="173" formatCode="0.0000000"/>
    <numFmt numFmtId="174" formatCode="#,##0.00000"/>
    <numFmt numFmtId="175" formatCode="0.000000000"/>
    <numFmt numFmtId="176" formatCode="0.0000"/>
    <numFmt numFmtId="177" formatCode="0.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.00\ &quot;р.&quot;_-;\-* #,##0.00\ &quot;р.&quot;_-;_-* &quot;-&quot;??\ &quot;р.&quot;_-;_-@_-"/>
    <numFmt numFmtId="185" formatCode="0000"/>
    <numFmt numFmtId="186" formatCode="0.0%"/>
    <numFmt numFmtId="187" formatCode="0.0000E+00"/>
    <numFmt numFmtId="188" formatCode="0.000E+00"/>
    <numFmt numFmtId="189" formatCode="0.0E+00"/>
    <numFmt numFmtId="190" formatCode="0E+00"/>
    <numFmt numFmtId="191" formatCode="\3.\4"/>
    <numFmt numFmtId="192" formatCode="\4"/>
    <numFmt numFmtId="193" formatCode=".\4"/>
    <numFmt numFmtId="194" formatCode="\3\5.\8%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#,##0.0000000"/>
    <numFmt numFmtId="203" formatCode="_-* #,##0.0_р_._-;\-* #,##0.0_р_._-;_-* &quot;-&quot;?_р_._-;_-@_-"/>
    <numFmt numFmtId="204" formatCode="_-* #,##0.0_р_._-;\-* #,##0.0_р_._-;_-* &quot;-&quot;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000"/>
    <numFmt numFmtId="210" formatCode="#,##0.00&quot;р.&quot;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34" borderId="18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65" fontId="1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67" fontId="9" fillId="0" borderId="2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64" fontId="9" fillId="0" borderId="2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167" fontId="5" fillId="0" borderId="13" xfId="0" applyNumberFormat="1" applyFont="1" applyBorder="1" applyAlignment="1">
      <alignment/>
    </xf>
    <xf numFmtId="2" fontId="8" fillId="0" borderId="0" xfId="0" applyNumberFormat="1" applyFont="1" applyFill="1" applyAlignment="1">
      <alignment/>
    </xf>
    <xf numFmtId="167" fontId="8" fillId="0" borderId="24" xfId="0" applyNumberFormat="1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4" fillId="35" borderId="13" xfId="0" applyNumberFormat="1" applyFont="1" applyFill="1" applyBorder="1" applyAlignment="1">
      <alignment/>
    </xf>
    <xf numFmtId="164" fontId="4" fillId="35" borderId="23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7" fontId="8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5" fontId="13" fillId="33" borderId="13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3" fontId="8" fillId="0" borderId="24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165" fontId="13" fillId="35" borderId="13" xfId="0" applyNumberFormat="1" applyFont="1" applyFill="1" applyBorder="1" applyAlignment="1">
      <alignment/>
    </xf>
    <xf numFmtId="4" fontId="8" fillId="35" borderId="13" xfId="0" applyNumberFormat="1" applyFont="1" applyFill="1" applyBorder="1" applyAlignment="1">
      <alignment/>
    </xf>
    <xf numFmtId="165" fontId="8" fillId="35" borderId="13" xfId="0" applyNumberFormat="1" applyFont="1" applyFill="1" applyBorder="1" applyAlignment="1">
      <alignment/>
    </xf>
    <xf numFmtId="168" fontId="4" fillId="0" borderId="3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5" fillId="0" borderId="3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4" fontId="9" fillId="35" borderId="2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34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5" xfId="0" applyNumberFormat="1" applyFont="1" applyFill="1" applyBorder="1" applyAlignment="1">
      <alignment wrapText="1"/>
    </xf>
    <xf numFmtId="49" fontId="4" fillId="0" borderId="36" xfId="0" applyNumberFormat="1" applyFont="1" applyFill="1" applyBorder="1" applyAlignment="1">
      <alignment wrapText="1"/>
    </xf>
    <xf numFmtId="49" fontId="4" fillId="0" borderId="37" xfId="0" applyNumberFormat="1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168" fontId="4" fillId="0" borderId="31" xfId="0" applyNumberFormat="1" applyFont="1" applyFill="1" applyBorder="1" applyAlignment="1">
      <alignment/>
    </xf>
    <xf numFmtId="168" fontId="4" fillId="0" borderId="32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/>
    </xf>
    <xf numFmtId="0" fontId="5" fillId="0" borderId="39" xfId="0" applyFont="1" applyFill="1" applyBorder="1" applyAlignment="1">
      <alignment wrapText="1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 wrapText="1"/>
    </xf>
    <xf numFmtId="168" fontId="4" fillId="0" borderId="41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168" fontId="4" fillId="0" borderId="43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68" fontId="1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8" fontId="4" fillId="0" borderId="45" xfId="0" applyNumberFormat="1" applyFont="1" applyFill="1" applyBorder="1" applyAlignment="1">
      <alignment/>
    </xf>
    <xf numFmtId="168" fontId="4" fillId="0" borderId="46" xfId="0" applyNumberFormat="1" applyFont="1" applyFill="1" applyBorder="1" applyAlignment="1">
      <alignment/>
    </xf>
    <xf numFmtId="168" fontId="5" fillId="0" borderId="43" xfId="0" applyNumberFormat="1" applyFont="1" applyFill="1" applyBorder="1" applyAlignment="1">
      <alignment/>
    </xf>
    <xf numFmtId="168" fontId="4" fillId="0" borderId="47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164" fontId="4" fillId="0" borderId="48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164" fontId="4" fillId="35" borderId="14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164" fontId="4" fillId="35" borderId="25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168" fontId="8" fillId="0" borderId="13" xfId="0" applyNumberFormat="1" applyFont="1" applyFill="1" applyBorder="1" applyAlignment="1">
      <alignment/>
    </xf>
    <xf numFmtId="168" fontId="9" fillId="0" borderId="13" xfId="0" applyNumberFormat="1" applyFont="1" applyFill="1" applyBorder="1" applyAlignment="1">
      <alignment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164" fontId="13" fillId="33" borderId="13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right" vertical="center" wrapText="1"/>
    </xf>
    <xf numFmtId="168" fontId="5" fillId="0" borderId="13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166" fontId="4" fillId="33" borderId="13" xfId="0" applyNumberFormat="1" applyFont="1" applyFill="1" applyBorder="1" applyAlignment="1">
      <alignment horizontal="right" vertical="center" wrapText="1"/>
    </xf>
    <xf numFmtId="0" fontId="16" fillId="36" borderId="13" xfId="0" applyFont="1" applyFill="1" applyBorder="1" applyAlignment="1">
      <alignment/>
    </xf>
    <xf numFmtId="165" fontId="16" fillId="0" borderId="13" xfId="0" applyNumberFormat="1" applyFont="1" applyFill="1" applyBorder="1" applyAlignment="1" applyProtection="1">
      <alignment horizontal="right"/>
      <protection locked="0"/>
    </xf>
    <xf numFmtId="2" fontId="16" fillId="0" borderId="13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168" fontId="16" fillId="0" borderId="13" xfId="0" applyNumberFormat="1" applyFont="1" applyFill="1" applyBorder="1" applyAlignment="1">
      <alignment/>
    </xf>
    <xf numFmtId="164" fontId="18" fillId="0" borderId="1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 vertical="center" wrapText="1"/>
    </xf>
    <xf numFmtId="164" fontId="18" fillId="35" borderId="13" xfId="0" applyNumberFormat="1" applyFont="1" applyFill="1" applyBorder="1" applyAlignment="1">
      <alignment/>
    </xf>
    <xf numFmtId="164" fontId="18" fillId="0" borderId="16" xfId="0" applyNumberFormat="1" applyFont="1" applyFill="1" applyBorder="1" applyAlignment="1">
      <alignment/>
    </xf>
    <xf numFmtId="164" fontId="16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78" fontId="18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36" borderId="14" xfId="0" applyFont="1" applyFill="1" applyBorder="1" applyAlignment="1">
      <alignment/>
    </xf>
    <xf numFmtId="165" fontId="16" fillId="0" borderId="14" xfId="0" applyNumberFormat="1" applyFont="1" applyFill="1" applyBorder="1" applyAlignment="1" applyProtection="1">
      <alignment horizontal="right"/>
      <protection locked="0"/>
    </xf>
    <xf numFmtId="2" fontId="16" fillId="0" borderId="14" xfId="0" applyNumberFormat="1" applyFont="1" applyFill="1" applyBorder="1" applyAlignment="1">
      <alignment/>
    </xf>
    <xf numFmtId="4" fontId="16" fillId="0" borderId="14" xfId="0" applyNumberFormat="1" applyFont="1" applyFill="1" applyBorder="1" applyAlignment="1">
      <alignment/>
    </xf>
    <xf numFmtId="164" fontId="18" fillId="0" borderId="14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164" fontId="18" fillId="0" borderId="51" xfId="0" applyNumberFormat="1" applyFont="1" applyFill="1" applyBorder="1" applyAlignment="1">
      <alignment/>
    </xf>
    <xf numFmtId="164" fontId="16" fillId="0" borderId="14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/>
    </xf>
    <xf numFmtId="0" fontId="18" fillId="0" borderId="20" xfId="0" applyFont="1" applyFill="1" applyBorder="1" applyAlignment="1">
      <alignment/>
    </xf>
    <xf numFmtId="167" fontId="18" fillId="0" borderId="20" xfId="0" applyNumberFormat="1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164" fontId="18" fillId="0" borderId="20" xfId="0" applyNumberFormat="1" applyFont="1" applyFill="1" applyBorder="1" applyAlignment="1">
      <alignment/>
    </xf>
    <xf numFmtId="164" fontId="19" fillId="0" borderId="20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9" fillId="0" borderId="3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1.08 (3)" xfId="60"/>
    <cellStyle name="Тысячи_1.08 (3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-4\otdel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84;&#1077;&#1085;\tmp\413\ghb,sk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84;&#1077;&#1085;\NEDOIM\NE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23"/>
  <sheetViews>
    <sheetView zoomScalePageLayoutView="0" workbookViewId="0" topLeftCell="A10">
      <selection activeCell="A24" sqref="A24"/>
    </sheetView>
  </sheetViews>
  <sheetFormatPr defaultColWidth="9.00390625" defaultRowHeight="12.75"/>
  <sheetData>
    <row r="22" spans="1:9" ht="18">
      <c r="A22" s="239" t="s">
        <v>91</v>
      </c>
      <c r="B22" s="239"/>
      <c r="C22" s="239"/>
      <c r="D22" s="239"/>
      <c r="E22" s="239"/>
      <c r="F22" s="239"/>
      <c r="G22" s="239"/>
      <c r="H22" s="239"/>
      <c r="I22" s="239"/>
    </row>
    <row r="23" spans="1:9" ht="18">
      <c r="A23" s="239" t="s">
        <v>118</v>
      </c>
      <c r="B23" s="239"/>
      <c r="C23" s="239"/>
      <c r="D23" s="239"/>
      <c r="E23" s="239"/>
      <c r="F23" s="239"/>
      <c r="G23" s="239"/>
      <c r="H23" s="239"/>
      <c r="I23" s="239"/>
    </row>
  </sheetData>
  <sheetProtection/>
  <mergeCells count="2">
    <mergeCell ref="A22:I22"/>
    <mergeCell ref="A23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11"/>
    </sheetView>
  </sheetViews>
  <sheetFormatPr defaultColWidth="9.00390625" defaultRowHeight="12.75"/>
  <cols>
    <col min="1" max="1" width="3.375" style="23" customWidth="1"/>
    <col min="2" max="2" width="24.875" style="23" customWidth="1"/>
    <col min="3" max="3" width="27.125" style="23" customWidth="1"/>
    <col min="4" max="4" width="0.2421875" style="23" hidden="1" customWidth="1"/>
    <col min="5" max="5" width="9.125" style="23" hidden="1" customWidth="1"/>
    <col min="6" max="6" width="14.375" style="23" hidden="1" customWidth="1"/>
    <col min="7" max="16384" width="9.125" style="23" customWidth="1"/>
  </cols>
  <sheetData>
    <row r="1" spans="1:6" ht="12.75" customHeight="1">
      <c r="A1" s="244"/>
      <c r="B1" s="244"/>
      <c r="C1" s="244"/>
      <c r="D1" s="58"/>
      <c r="E1" s="58"/>
      <c r="F1" s="58"/>
    </row>
    <row r="2" spans="1:6" ht="23.25" customHeight="1">
      <c r="A2" s="244"/>
      <c r="B2" s="244"/>
      <c r="C2" s="244"/>
      <c r="D2" s="58"/>
      <c r="E2" s="58"/>
      <c r="F2" s="58"/>
    </row>
    <row r="3" spans="1:3" ht="15" customHeight="1" thickBot="1">
      <c r="A3" s="55"/>
      <c r="B3" s="59" t="s">
        <v>8</v>
      </c>
      <c r="C3" s="55"/>
    </row>
    <row r="4" spans="1:6" ht="144.75" customHeight="1">
      <c r="A4" s="242" t="s">
        <v>1</v>
      </c>
      <c r="B4" s="240" t="s">
        <v>17</v>
      </c>
      <c r="C4" s="73" t="s">
        <v>110</v>
      </c>
      <c r="F4" s="193"/>
    </row>
    <row r="5" spans="1:6" ht="18" customHeight="1">
      <c r="A5" s="243"/>
      <c r="B5" s="241"/>
      <c r="C5" s="73">
        <v>1</v>
      </c>
      <c r="F5" s="194"/>
    </row>
    <row r="6" spans="1:6" ht="15.75">
      <c r="A6" s="42">
        <v>1</v>
      </c>
      <c r="B6" s="60" t="s">
        <v>62</v>
      </c>
      <c r="C6" s="87">
        <v>530</v>
      </c>
      <c r="F6" s="195"/>
    </row>
    <row r="7" spans="1:6" ht="15.75">
      <c r="A7" s="42">
        <v>2</v>
      </c>
      <c r="B7" s="60" t="s">
        <v>63</v>
      </c>
      <c r="C7" s="204">
        <v>1414</v>
      </c>
      <c r="E7" s="72"/>
      <c r="F7" s="195"/>
    </row>
    <row r="8" spans="1:6" ht="15.75">
      <c r="A8" s="42"/>
      <c r="B8" s="60"/>
      <c r="C8" s="87"/>
      <c r="E8" s="72"/>
      <c r="F8" s="195"/>
    </row>
    <row r="9" spans="1:6" ht="15.75">
      <c r="A9" s="42">
        <v>4</v>
      </c>
      <c r="B9" s="60" t="s">
        <v>65</v>
      </c>
      <c r="C9" s="11">
        <v>3596</v>
      </c>
      <c r="E9" s="72"/>
      <c r="F9" s="195"/>
    </row>
    <row r="10" spans="1:6" ht="15.75">
      <c r="A10" s="42">
        <v>5</v>
      </c>
      <c r="B10" s="60" t="s">
        <v>66</v>
      </c>
      <c r="C10" s="11">
        <v>938</v>
      </c>
      <c r="E10" s="72"/>
      <c r="F10" s="195"/>
    </row>
    <row r="11" spans="1:6" ht="15.75">
      <c r="A11" s="42">
        <v>6</v>
      </c>
      <c r="B11" s="61" t="s">
        <v>67</v>
      </c>
      <c r="C11" s="11">
        <v>2002</v>
      </c>
      <c r="F11" s="195"/>
    </row>
    <row r="12" spans="1:6" ht="13.5" thickBot="1">
      <c r="A12" s="47"/>
      <c r="B12" s="48" t="s">
        <v>0</v>
      </c>
      <c r="C12" s="74">
        <f>SUM(C6:C11)</f>
        <v>8480</v>
      </c>
      <c r="E12" s="23">
        <v>6347</v>
      </c>
      <c r="F12" s="196"/>
    </row>
    <row r="13" ht="12.75">
      <c r="C13" s="46"/>
    </row>
  </sheetData>
  <sheetProtection/>
  <mergeCells count="3">
    <mergeCell ref="B4:B5"/>
    <mergeCell ref="A4:A5"/>
    <mergeCell ref="A1:C2"/>
  </mergeCells>
  <printOptions horizontalCentered="1"/>
  <pageMargins left="0" right="0" top="0" bottom="0" header="0.11811023622047245" footer="0.433070866141732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B3"/>
    </sheetView>
  </sheetViews>
  <sheetFormatPr defaultColWidth="9.00390625" defaultRowHeight="12.75"/>
  <cols>
    <col min="1" max="1" width="5.625" style="23" customWidth="1"/>
    <col min="2" max="3" width="16.25390625" style="23" customWidth="1"/>
    <col min="4" max="6" width="14.75390625" style="23" customWidth="1"/>
    <col min="7" max="7" width="14.25390625" style="23" customWidth="1"/>
    <col min="8" max="8" width="2.00390625" style="23" hidden="1" customWidth="1"/>
    <col min="9" max="10" width="9.875" style="23" customWidth="1"/>
    <col min="11" max="13" width="15.00390625" style="23" customWidth="1"/>
    <col min="14" max="16" width="14.375" style="23" customWidth="1"/>
    <col min="17" max="16384" width="9.125" style="23" customWidth="1"/>
  </cols>
  <sheetData>
    <row r="1" ht="22.5" customHeight="1">
      <c r="A1" s="54"/>
    </row>
    <row r="2" spans="1:16" ht="26.25" customHeight="1" thickBot="1">
      <c r="A2" s="247" t="s">
        <v>119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ht="75" customHeight="1">
      <c r="A3" s="245"/>
      <c r="B3" s="246"/>
      <c r="C3" s="35" t="s">
        <v>106</v>
      </c>
      <c r="D3" s="35" t="s">
        <v>7</v>
      </c>
      <c r="E3" s="35" t="s">
        <v>79</v>
      </c>
      <c r="F3" s="35" t="s">
        <v>12</v>
      </c>
      <c r="G3" s="35" t="s">
        <v>80</v>
      </c>
      <c r="H3" s="35"/>
      <c r="I3" s="35" t="s">
        <v>95</v>
      </c>
      <c r="J3" s="35"/>
      <c r="K3" s="75" t="s">
        <v>25</v>
      </c>
      <c r="L3" s="177" t="s">
        <v>81</v>
      </c>
      <c r="M3" s="177" t="s">
        <v>26</v>
      </c>
      <c r="N3" s="75" t="s">
        <v>82</v>
      </c>
      <c r="O3" s="177"/>
      <c r="P3" s="75" t="s">
        <v>98</v>
      </c>
    </row>
    <row r="4" spans="1:17" ht="36.75" customHeight="1" thickBot="1">
      <c r="A4" s="248" t="s">
        <v>105</v>
      </c>
      <c r="B4" s="249"/>
      <c r="C4" s="62">
        <v>30208</v>
      </c>
      <c r="D4" s="111">
        <v>14470.5</v>
      </c>
      <c r="E4" s="111">
        <v>9697</v>
      </c>
      <c r="F4" s="111">
        <v>3156.8</v>
      </c>
      <c r="G4" s="111">
        <v>2164.8</v>
      </c>
      <c r="H4" s="111"/>
      <c r="I4" s="111">
        <v>1047.7</v>
      </c>
      <c r="J4" s="111"/>
      <c r="K4" s="56">
        <f>ROUND((D4/C4),3)</f>
        <v>0.479</v>
      </c>
      <c r="L4" s="56">
        <f>ROUND((E4/C4),3)</f>
        <v>0.321</v>
      </c>
      <c r="M4" s="56">
        <f>ROUND((F4/C4),3)</f>
        <v>0.105</v>
      </c>
      <c r="N4" s="56">
        <f>ROUND((G4/C4),3)</f>
        <v>0.072</v>
      </c>
      <c r="O4" s="56">
        <f>ROUND((J4/C4),3)</f>
        <v>0</v>
      </c>
      <c r="P4" s="56">
        <f>ROUND((I4/C4),3)</f>
        <v>0.035</v>
      </c>
      <c r="Q4" s="57">
        <f>K4+L4+M4+N4+P4+O4</f>
        <v>1.012</v>
      </c>
    </row>
    <row r="5" spans="3:13" ht="12.75">
      <c r="C5" s="30"/>
      <c r="K5" s="57"/>
      <c r="L5" s="57"/>
      <c r="M5" s="57"/>
    </row>
    <row r="7" ht="12.75">
      <c r="C7" s="30"/>
    </row>
  </sheetData>
  <sheetProtection/>
  <mergeCells count="3">
    <mergeCell ref="A3:B3"/>
    <mergeCell ref="A2:P2"/>
    <mergeCell ref="A4:B4"/>
  </mergeCells>
  <printOptions horizontalCentered="1"/>
  <pageMargins left="0.3937007874015748" right="0.3937007874015748" top="0.3937007874015748" bottom="0.3937007874015748" header="0.2755905511811024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" sqref="E5"/>
    </sheetView>
  </sheetViews>
  <sheetFormatPr defaultColWidth="9.00390625" defaultRowHeight="12.75"/>
  <cols>
    <col min="1" max="1" width="4.625" style="23" customWidth="1"/>
    <col min="2" max="2" width="23.00390625" style="23" customWidth="1"/>
    <col min="3" max="5" width="13.25390625" style="53" customWidth="1"/>
    <col min="6" max="6" width="11.625" style="53" customWidth="1"/>
    <col min="7" max="7" width="11.75390625" style="53" customWidth="1"/>
    <col min="8" max="10" width="13.25390625" style="53" customWidth="1"/>
    <col min="11" max="11" width="12.875" style="53" customWidth="1"/>
    <col min="12" max="12" width="13.25390625" style="53" hidden="1" customWidth="1"/>
    <col min="13" max="13" width="13.125" style="53" customWidth="1"/>
    <col min="14" max="14" width="0.12890625" style="53" hidden="1" customWidth="1"/>
    <col min="15" max="17" width="14.125" style="53" customWidth="1"/>
    <col min="18" max="20" width="13.25390625" style="53" customWidth="1"/>
    <col min="21" max="21" width="15.75390625" style="53" hidden="1" customWidth="1"/>
    <col min="22" max="22" width="13.125" style="53" customWidth="1"/>
    <col min="23" max="24" width="13.00390625" style="53" hidden="1" customWidth="1"/>
    <col min="25" max="25" width="16.00390625" style="23" customWidth="1"/>
    <col min="26" max="26" width="17.625" style="23" customWidth="1"/>
    <col min="27" max="16384" width="9.125" style="23" customWidth="1"/>
  </cols>
  <sheetData>
    <row r="1" spans="2:25" ht="15.75" customHeight="1">
      <c r="B1" s="251" t="s">
        <v>107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5" ht="18" customHeight="1" thickBot="1">
      <c r="A2" s="33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6" ht="164.25" customHeight="1">
      <c r="A3" s="34" t="s">
        <v>1</v>
      </c>
      <c r="B3" s="35" t="s">
        <v>6</v>
      </c>
      <c r="C3" s="35" t="s">
        <v>104</v>
      </c>
      <c r="D3" s="36" t="s">
        <v>96</v>
      </c>
      <c r="E3" s="36" t="s">
        <v>93</v>
      </c>
      <c r="F3" s="183" t="s">
        <v>94</v>
      </c>
      <c r="G3" s="75" t="s">
        <v>49</v>
      </c>
      <c r="H3" s="35" t="s">
        <v>50</v>
      </c>
      <c r="I3" s="35" t="s">
        <v>51</v>
      </c>
      <c r="J3" s="35" t="s">
        <v>97</v>
      </c>
      <c r="K3" s="35" t="s">
        <v>58</v>
      </c>
      <c r="L3" s="35" t="s">
        <v>60</v>
      </c>
      <c r="M3" s="35" t="s">
        <v>59</v>
      </c>
      <c r="N3" s="75"/>
      <c r="O3" s="75" t="s">
        <v>52</v>
      </c>
      <c r="P3" s="75" t="s">
        <v>25</v>
      </c>
      <c r="Q3" s="177" t="s">
        <v>81</v>
      </c>
      <c r="R3" s="177" t="s">
        <v>26</v>
      </c>
      <c r="S3" s="75" t="s">
        <v>82</v>
      </c>
      <c r="T3" s="75" t="s">
        <v>95</v>
      </c>
      <c r="U3" s="36">
        <v>0</v>
      </c>
      <c r="V3" s="36" t="s">
        <v>5</v>
      </c>
      <c r="W3" s="36"/>
      <c r="X3" s="36"/>
      <c r="Y3" s="37" t="s">
        <v>24</v>
      </c>
      <c r="Z3" s="32"/>
    </row>
    <row r="4" spans="1:25" s="41" customFormat="1" ht="26.25" customHeight="1">
      <c r="A4" s="253" t="s">
        <v>53</v>
      </c>
      <c r="B4" s="254"/>
      <c r="C4" s="38"/>
      <c r="D4" s="38"/>
      <c r="E4" s="38"/>
      <c r="F4" s="38"/>
      <c r="G4" s="124"/>
      <c r="H4" s="112">
        <f>'Расходы поселений'!AV5/'Расходы поселений'!AV17</f>
        <v>0.4414710847760602</v>
      </c>
      <c r="I4" s="112">
        <f>('Расходы поселений'!AV8+'Расходы поселений'!AV12)/'Расходы поселений'!AV17</f>
        <v>0.02562150352543944</v>
      </c>
      <c r="J4" s="112"/>
      <c r="K4" s="38"/>
      <c r="L4" s="199">
        <v>0</v>
      </c>
      <c r="M4" s="38"/>
      <c r="N4" s="124"/>
      <c r="O4" s="124"/>
      <c r="P4" s="112">
        <f>'2. Расчет_уд_вес_расх2010'!K4</f>
        <v>0.479</v>
      </c>
      <c r="Q4" s="112">
        <f>'2. Расчет_уд_вес_расх2010'!L4</f>
        <v>0.321</v>
      </c>
      <c r="R4" s="112">
        <f>'2. Расчет_уд_вес_расх2010'!M4</f>
        <v>0.105</v>
      </c>
      <c r="S4" s="112">
        <f>'2. Расчет_уд_вес_расх2010'!N4</f>
        <v>0.072</v>
      </c>
      <c r="T4" s="112">
        <f>'2. Расчет_уд_вес_расх2010'!P4</f>
        <v>0.035</v>
      </c>
      <c r="U4" s="38"/>
      <c r="V4" s="39"/>
      <c r="W4" s="39"/>
      <c r="X4" s="180"/>
      <c r="Y4" s="40"/>
    </row>
    <row r="5" spans="1:28" ht="15.75">
      <c r="A5" s="42">
        <v>1</v>
      </c>
      <c r="B5" s="11" t="s">
        <v>62</v>
      </c>
      <c r="C5" s="43">
        <f>'1.Исходные данные для ИБР'!C6</f>
        <v>530</v>
      </c>
      <c r="D5" s="28">
        <v>9</v>
      </c>
      <c r="E5" s="29">
        <v>60</v>
      </c>
      <c r="F5" s="178">
        <f aca="true" t="shared" si="0" ref="F5:F11">E5/D5</f>
        <v>6.666666666666667</v>
      </c>
      <c r="G5" s="125">
        <f aca="true" t="shared" si="1" ref="G5:G10">$H$4*K5+$I$4*M5+1-$H$4-$I$4</f>
        <v>0.889598022321421</v>
      </c>
      <c r="H5" s="112">
        <f>'Расходы поселений'!I5/'Расходы поселений'!I17</f>
        <v>0.8273803177311013</v>
      </c>
      <c r="I5" s="43"/>
      <c r="J5" s="43">
        <f>C5/C11</f>
        <v>0.0625</v>
      </c>
      <c r="K5" s="28">
        <f>(1+H5*J5)/(1+H4*J11)</f>
        <v>0.7296096889946166</v>
      </c>
      <c r="L5" s="200">
        <v>0</v>
      </c>
      <c r="M5" s="43">
        <v>1.35</v>
      </c>
      <c r="N5" s="125">
        <v>0</v>
      </c>
      <c r="O5" s="126">
        <f>$P$4*V5+$Q$4*V5+$R$4*X5+$S$4*U5+$T$4*W5</f>
        <v>1.3359999999999999</v>
      </c>
      <c r="P5" s="43"/>
      <c r="Q5" s="43"/>
      <c r="R5" s="43"/>
      <c r="S5" s="43"/>
      <c r="T5" s="43"/>
      <c r="U5" s="28">
        <v>0</v>
      </c>
      <c r="V5" s="44">
        <f aca="true" t="shared" si="2" ref="V5:V10">ROUND((0.6+0.4*$C$12/C5),2)</f>
        <v>1.67</v>
      </c>
      <c r="W5" s="44">
        <v>0</v>
      </c>
      <c r="X5" s="181">
        <v>0</v>
      </c>
      <c r="Y5" s="45">
        <f aca="true" t="shared" si="3" ref="Y5:Y10">G5*O5</f>
        <v>1.1885029578214183</v>
      </c>
      <c r="Z5" s="79"/>
      <c r="AB5" s="46"/>
    </row>
    <row r="6" spans="1:28" ht="15.75">
      <c r="A6" s="42">
        <v>2</v>
      </c>
      <c r="B6" s="11" t="s">
        <v>63</v>
      </c>
      <c r="C6" s="43">
        <f>'1.Исходные данные для ИБР'!C7</f>
        <v>1414</v>
      </c>
      <c r="D6" s="28">
        <v>57.6</v>
      </c>
      <c r="E6" s="29">
        <v>137</v>
      </c>
      <c r="F6" s="178">
        <f t="shared" si="0"/>
        <v>2.3784722222222223</v>
      </c>
      <c r="G6" s="125">
        <f t="shared" si="1"/>
        <v>1.0886379401361648</v>
      </c>
      <c r="H6" s="112">
        <f>'Расходы поселений'!P5/'Расходы поселений'!P17</f>
        <v>0.7758644517537798</v>
      </c>
      <c r="I6" s="43"/>
      <c r="J6" s="43">
        <f>C6/C12</f>
        <v>1.0004719340735693</v>
      </c>
      <c r="K6" s="28">
        <f>(1+H6*J6)/(1+H4*J11)</f>
        <v>1.2322346437500549</v>
      </c>
      <c r="L6" s="200">
        <v>0</v>
      </c>
      <c r="M6" s="43">
        <f>F6/F11</f>
        <v>0.4579966804459476</v>
      </c>
      <c r="N6" s="125">
        <v>0</v>
      </c>
      <c r="O6" s="126">
        <f aca="true" t="shared" si="4" ref="O6:O11">$P$4*V6+$Q$4*V6+$R$4*V6+$S$4*V6+$T$4*V6</f>
        <v>1.012</v>
      </c>
      <c r="P6" s="43"/>
      <c r="Q6" s="43"/>
      <c r="R6" s="43"/>
      <c r="S6" s="43"/>
      <c r="T6" s="43"/>
      <c r="U6" s="28">
        <v>0</v>
      </c>
      <c r="V6" s="44">
        <f t="shared" si="2"/>
        <v>1</v>
      </c>
      <c r="W6" s="44">
        <v>0</v>
      </c>
      <c r="X6" s="181">
        <v>0</v>
      </c>
      <c r="Y6" s="45">
        <f t="shared" si="3"/>
        <v>1.1017015954177987</v>
      </c>
      <c r="AB6" s="46"/>
    </row>
    <row r="7" spans="1:28" ht="15.75">
      <c r="A7" s="42">
        <v>3</v>
      </c>
      <c r="B7" s="11" t="s">
        <v>64</v>
      </c>
      <c r="C7" s="43">
        <f>'1.Исходные данные для ИБР'!C8</f>
        <v>0</v>
      </c>
      <c r="D7" s="28"/>
      <c r="E7" s="29">
        <v>0</v>
      </c>
      <c r="F7" s="178" t="e">
        <f t="shared" si="0"/>
        <v>#DIV/0!</v>
      </c>
      <c r="G7" s="125" t="e">
        <f t="shared" si="1"/>
        <v>#DIV/0!</v>
      </c>
      <c r="H7" s="112" t="e">
        <f>'Расходы поселений'!U5/'Расходы поселений'!U17</f>
        <v>#DIV/0!</v>
      </c>
      <c r="I7" s="43"/>
      <c r="J7" s="43">
        <f>C7/C11</f>
        <v>0</v>
      </c>
      <c r="K7" s="28" t="e">
        <f>(1+H7*J7)/(1+H6*J13)</f>
        <v>#DIV/0!</v>
      </c>
      <c r="L7" s="200">
        <v>0</v>
      </c>
      <c r="M7" s="43" t="e">
        <f>F7/F11</f>
        <v>#DIV/0!</v>
      </c>
      <c r="N7" s="125">
        <v>0</v>
      </c>
      <c r="O7" s="126" t="e">
        <f t="shared" si="4"/>
        <v>#DIV/0!</v>
      </c>
      <c r="P7" s="43"/>
      <c r="Q7" s="43"/>
      <c r="R7" s="43"/>
      <c r="S7" s="43"/>
      <c r="T7" s="43"/>
      <c r="U7" s="28">
        <v>0</v>
      </c>
      <c r="V7" s="44" t="e">
        <f t="shared" si="2"/>
        <v>#DIV/0!</v>
      </c>
      <c r="W7" s="44">
        <v>0</v>
      </c>
      <c r="X7" s="181">
        <v>0</v>
      </c>
      <c r="Y7" s="45" t="e">
        <f t="shared" si="3"/>
        <v>#DIV/0!</v>
      </c>
      <c r="AB7" s="46"/>
    </row>
    <row r="8" spans="1:28" ht="15.75">
      <c r="A8" s="42">
        <v>4</v>
      </c>
      <c r="B8" s="11" t="s">
        <v>65</v>
      </c>
      <c r="C8" s="43">
        <f>'1.Исходные данные для ИБР'!C9</f>
        <v>3596</v>
      </c>
      <c r="D8" s="28">
        <v>14.8</v>
      </c>
      <c r="E8" s="29">
        <v>61</v>
      </c>
      <c r="F8" s="178">
        <f t="shared" si="0"/>
        <v>4.121621621621621</v>
      </c>
      <c r="G8" s="125">
        <f t="shared" si="1"/>
        <v>0.9386159622476957</v>
      </c>
      <c r="H8" s="112">
        <f>'Расходы поселений'!AB5/'Расходы поселений'!AB17</f>
        <v>0.6091288144348918</v>
      </c>
      <c r="I8" s="43"/>
      <c r="J8" s="43">
        <f>C8/C11</f>
        <v>0.4240566037735849</v>
      </c>
      <c r="K8" s="28">
        <f>(1+H8*J8)/(1+H4*J11)</f>
        <v>0.8729312086793433</v>
      </c>
      <c r="L8" s="200">
        <v>0</v>
      </c>
      <c r="M8" s="43">
        <f>F8/F11</f>
        <v>0.7936561138364969</v>
      </c>
      <c r="N8" s="125">
        <v>0</v>
      </c>
      <c r="O8" s="126">
        <f t="shared" si="4"/>
        <v>0.7691199999999999</v>
      </c>
      <c r="P8" s="43"/>
      <c r="Q8" s="43"/>
      <c r="R8" s="43"/>
      <c r="S8" s="43"/>
      <c r="T8" s="43"/>
      <c r="U8" s="28">
        <v>0</v>
      </c>
      <c r="V8" s="44">
        <f t="shared" si="2"/>
        <v>0.76</v>
      </c>
      <c r="W8" s="44">
        <v>0</v>
      </c>
      <c r="X8" s="181">
        <v>0</v>
      </c>
      <c r="Y8" s="45">
        <f t="shared" si="3"/>
        <v>0.7219083088839476</v>
      </c>
      <c r="AB8" s="46"/>
    </row>
    <row r="9" spans="1:28" ht="15.75">
      <c r="A9" s="42">
        <v>5</v>
      </c>
      <c r="B9" s="11" t="s">
        <v>66</v>
      </c>
      <c r="C9" s="43">
        <f>'1.Исходные данные для ИБР'!C10</f>
        <v>938</v>
      </c>
      <c r="D9" s="28">
        <v>58.9</v>
      </c>
      <c r="E9" s="29">
        <v>374</v>
      </c>
      <c r="F9" s="178">
        <f t="shared" si="0"/>
        <v>6.3497453310696095</v>
      </c>
      <c r="G9" s="125">
        <f t="shared" si="1"/>
        <v>0.8831611962917032</v>
      </c>
      <c r="H9" s="112">
        <f>'Расходы поселений'!AI5/'Расходы поселений'!AI17</f>
        <v>0.3737670611045286</v>
      </c>
      <c r="I9" s="43"/>
      <c r="J9" s="43">
        <f>C9/C11</f>
        <v>0.11061320754716981</v>
      </c>
      <c r="K9" s="28">
        <f>(1+H9*J9)/(1+H4*J11)</f>
        <v>0.7224172475620827</v>
      </c>
      <c r="L9" s="200">
        <v>0</v>
      </c>
      <c r="M9" s="43">
        <f>F9/F11</f>
        <v>1.2227018067042719</v>
      </c>
      <c r="N9" s="125">
        <v>0</v>
      </c>
      <c r="O9" s="126">
        <f t="shared" si="4"/>
        <v>1.2144</v>
      </c>
      <c r="P9" s="43"/>
      <c r="Q9" s="43"/>
      <c r="R9" s="43"/>
      <c r="S9" s="43"/>
      <c r="T9" s="43"/>
      <c r="U9" s="28">
        <v>0</v>
      </c>
      <c r="V9" s="44">
        <f t="shared" si="2"/>
        <v>1.2</v>
      </c>
      <c r="W9" s="44">
        <v>0</v>
      </c>
      <c r="X9" s="181">
        <v>0</v>
      </c>
      <c r="Y9" s="45">
        <f t="shared" si="3"/>
        <v>1.0725109567766442</v>
      </c>
      <c r="AB9" s="46"/>
    </row>
    <row r="10" spans="1:28" ht="15.75">
      <c r="A10" s="42">
        <v>6</v>
      </c>
      <c r="B10" s="15" t="s">
        <v>67</v>
      </c>
      <c r="C10" s="43">
        <f>'1.Исходные данные для ИБР'!C11</f>
        <v>2002</v>
      </c>
      <c r="D10" s="28">
        <v>30.5</v>
      </c>
      <c r="E10" s="29">
        <v>255</v>
      </c>
      <c r="F10" s="178">
        <f t="shared" si="0"/>
        <v>8.360655737704919</v>
      </c>
      <c r="G10" s="125">
        <f t="shared" si="1"/>
        <v>0.9269179952601232</v>
      </c>
      <c r="H10" s="112">
        <f>'Расходы поселений'!AO5/'Расходы поселений'!AO17</f>
        <v>0.6430830920026732</v>
      </c>
      <c r="I10" s="43"/>
      <c r="J10" s="43">
        <f>C10/C11</f>
        <v>0.23608490566037735</v>
      </c>
      <c r="K10" s="28">
        <f>(1+H10*J10)/(1+H4*J11)</f>
        <v>0.799060226231438</v>
      </c>
      <c r="L10" s="200">
        <v>0</v>
      </c>
      <c r="M10" s="43">
        <f>F10/F11</f>
        <v>1.6099210822998873</v>
      </c>
      <c r="N10" s="125">
        <v>0</v>
      </c>
      <c r="O10" s="126">
        <f t="shared" si="4"/>
        <v>0.89056</v>
      </c>
      <c r="P10" s="43"/>
      <c r="Q10" s="43"/>
      <c r="R10" s="43"/>
      <c r="S10" s="43"/>
      <c r="T10" s="43"/>
      <c r="U10" s="28">
        <v>0</v>
      </c>
      <c r="V10" s="44">
        <f t="shared" si="2"/>
        <v>0.88</v>
      </c>
      <c r="W10" s="44">
        <v>0</v>
      </c>
      <c r="X10" s="181">
        <v>0</v>
      </c>
      <c r="Y10" s="45">
        <f t="shared" si="3"/>
        <v>0.8254760898588553</v>
      </c>
      <c r="AB10" s="46"/>
    </row>
    <row r="11" spans="1:28" ht="13.5" thickBot="1">
      <c r="A11" s="47"/>
      <c r="B11" s="48" t="s">
        <v>0</v>
      </c>
      <c r="C11" s="49">
        <f>SUM(C5:C10)</f>
        <v>8480</v>
      </c>
      <c r="D11" s="51">
        <f>D5+D6+D7+D8+D9+D10</f>
        <v>170.79999999999998</v>
      </c>
      <c r="E11" s="51">
        <f>E5+E6+E7+E8+E9+E10</f>
        <v>887</v>
      </c>
      <c r="F11" s="178">
        <f t="shared" si="0"/>
        <v>5.19320843091335</v>
      </c>
      <c r="G11" s="125">
        <v>1</v>
      </c>
      <c r="H11" s="49"/>
      <c r="I11" s="49"/>
      <c r="J11" s="43">
        <f>C11/C11</f>
        <v>1</v>
      </c>
      <c r="K11" s="28">
        <f>(1+H11*J11)/(1+H5*J12)</f>
        <v>1</v>
      </c>
      <c r="L11" s="49"/>
      <c r="M11" s="49">
        <v>1</v>
      </c>
      <c r="N11" s="132">
        <f>(N5+N6+N7+N8+N9+N10)/6</f>
        <v>0</v>
      </c>
      <c r="O11" s="126">
        <f t="shared" si="4"/>
        <v>1.012</v>
      </c>
      <c r="P11" s="49"/>
      <c r="Q11" s="49"/>
      <c r="R11" s="49"/>
      <c r="S11" s="179"/>
      <c r="T11" s="179"/>
      <c r="U11" s="28">
        <v>0</v>
      </c>
      <c r="V11" s="50">
        <v>1</v>
      </c>
      <c r="W11" s="50">
        <v>0</v>
      </c>
      <c r="X11" s="182">
        <v>0</v>
      </c>
      <c r="Y11" s="45">
        <v>1</v>
      </c>
      <c r="AB11" s="30"/>
    </row>
    <row r="12" spans="1:30" ht="32.25" customHeight="1">
      <c r="A12" s="255" t="s">
        <v>23</v>
      </c>
      <c r="B12" s="255"/>
      <c r="C12" s="52">
        <f>ROUND((C11/6),3)</f>
        <v>1413.333</v>
      </c>
      <c r="D12" s="52">
        <v>3460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AD12" s="30"/>
    </row>
    <row r="13" spans="1:30" ht="51" customHeight="1">
      <c r="A13" s="250" t="s">
        <v>47</v>
      </c>
      <c r="B13" s="25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AD13" s="30"/>
    </row>
    <row r="14" spans="1:30" ht="52.5" customHeight="1">
      <c r="A14" s="250" t="s">
        <v>48</v>
      </c>
      <c r="B14" s="25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AD14" s="30"/>
    </row>
    <row r="15" spans="1:30" ht="27" customHeight="1">
      <c r="A15" s="250" t="s">
        <v>85</v>
      </c>
      <c r="B15" s="250"/>
      <c r="C15" s="72">
        <f>D11/6</f>
        <v>28.466666666666665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AD15" s="30"/>
    </row>
    <row r="16" spans="1:30" ht="41.25" customHeight="1">
      <c r="A16" s="250" t="s">
        <v>87</v>
      </c>
      <c r="B16" s="250"/>
      <c r="C16" s="53">
        <v>625</v>
      </c>
      <c r="AD16" s="30"/>
    </row>
    <row r="17" spans="1:30" ht="60" customHeight="1">
      <c r="A17" s="250" t="s">
        <v>86</v>
      </c>
      <c r="B17" s="250"/>
      <c r="AD17" s="30"/>
    </row>
    <row r="18" spans="2:30" ht="12.75">
      <c r="B18" s="23" t="s">
        <v>88</v>
      </c>
      <c r="AD18" s="30"/>
    </row>
    <row r="19" ht="12.75">
      <c r="AD19" s="30"/>
    </row>
    <row r="20" ht="12.75">
      <c r="AD20" s="30"/>
    </row>
    <row r="21" ht="12.75">
      <c r="AD21" s="30"/>
    </row>
    <row r="22" ht="12.75">
      <c r="AD22" s="30"/>
    </row>
    <row r="23" ht="12.75">
      <c r="AD23" s="30"/>
    </row>
    <row r="24" ht="12.75">
      <c r="AD24" s="30"/>
    </row>
    <row r="25" ht="12.75">
      <c r="AD25" s="30"/>
    </row>
    <row r="26" ht="12.75">
      <c r="AD26" s="30"/>
    </row>
    <row r="27" ht="12.75">
      <c r="AD27" s="30"/>
    </row>
    <row r="28" ht="12.75">
      <c r="AD28" s="30"/>
    </row>
    <row r="29" ht="12.75">
      <c r="AD29" s="30"/>
    </row>
    <row r="30" ht="12.75">
      <c r="AD30" s="30"/>
    </row>
    <row r="31" ht="12.75">
      <c r="AD31" s="30"/>
    </row>
    <row r="32" ht="12.75">
      <c r="AD32" s="30"/>
    </row>
    <row r="33" ht="12.75">
      <c r="AD33" s="30"/>
    </row>
    <row r="34" ht="12.75">
      <c r="AD34" s="30"/>
    </row>
    <row r="35" ht="12.75">
      <c r="AD35" s="30"/>
    </row>
    <row r="36" ht="12.75">
      <c r="AD36" s="30"/>
    </row>
    <row r="37" ht="12.75">
      <c r="AD37" s="30"/>
    </row>
    <row r="38" ht="12.75">
      <c r="AD38" s="30"/>
    </row>
    <row r="39" ht="12.75">
      <c r="AD39" s="30"/>
    </row>
    <row r="40" ht="12.75">
      <c r="AD40" s="30"/>
    </row>
    <row r="41" ht="12.75">
      <c r="AD41" s="30"/>
    </row>
    <row r="42" ht="12.75">
      <c r="AD42" s="30"/>
    </row>
    <row r="43" ht="12.75">
      <c r="AD43" s="30"/>
    </row>
    <row r="44" ht="12.75">
      <c r="AD44" s="30"/>
    </row>
    <row r="45" ht="12.75">
      <c r="AD45" s="30"/>
    </row>
    <row r="46" ht="12.75">
      <c r="AD46" s="30"/>
    </row>
    <row r="47" ht="12.75">
      <c r="AD47" s="30"/>
    </row>
    <row r="48" ht="12.75">
      <c r="AD48" s="30"/>
    </row>
    <row r="49" ht="12.75">
      <c r="AD49" s="30"/>
    </row>
    <row r="50" ht="12.75">
      <c r="AD50" s="30"/>
    </row>
    <row r="51" ht="12.75">
      <c r="AD51" s="30"/>
    </row>
    <row r="52" ht="12.75">
      <c r="AD52" s="30"/>
    </row>
    <row r="53" ht="12.75">
      <c r="AD53" s="30"/>
    </row>
    <row r="54" ht="12.75">
      <c r="AD54" s="30"/>
    </row>
    <row r="55" ht="12.75">
      <c r="AD55" s="30"/>
    </row>
    <row r="56" ht="12.75">
      <c r="AD56" s="30"/>
    </row>
    <row r="57" ht="12.75">
      <c r="AD57" s="30"/>
    </row>
    <row r="58" ht="12.75">
      <c r="AD58" s="30"/>
    </row>
    <row r="59" ht="12.75">
      <c r="AD59" s="30"/>
    </row>
    <row r="60" ht="12.75">
      <c r="AD60" s="30"/>
    </row>
    <row r="61" ht="12.75">
      <c r="AD61" s="30"/>
    </row>
    <row r="62" ht="12.75">
      <c r="AD62" s="30"/>
    </row>
    <row r="63" ht="12.75">
      <c r="AD63" s="30"/>
    </row>
    <row r="64" ht="12.75">
      <c r="AD64" s="30"/>
    </row>
    <row r="65" ht="12.75">
      <c r="AD65" s="30"/>
    </row>
    <row r="66" ht="12.75">
      <c r="AD66" s="30"/>
    </row>
    <row r="67" ht="12.75">
      <c r="AD67" s="30"/>
    </row>
    <row r="68" ht="12.75">
      <c r="AD68" s="30"/>
    </row>
    <row r="69" ht="12.75">
      <c r="AD69" s="30"/>
    </row>
    <row r="70" ht="12.75">
      <c r="AD70" s="30"/>
    </row>
    <row r="71" ht="12.75">
      <c r="AD71" s="30"/>
    </row>
    <row r="72" ht="12.75">
      <c r="AD72" s="30"/>
    </row>
    <row r="73" ht="12.75">
      <c r="AD73" s="30"/>
    </row>
    <row r="74" ht="12.75">
      <c r="AD74" s="30"/>
    </row>
    <row r="75" ht="12.75">
      <c r="AD75" s="30"/>
    </row>
    <row r="76" ht="12.75">
      <c r="AD76" s="30"/>
    </row>
    <row r="77" ht="12.75">
      <c r="AD77" s="30"/>
    </row>
    <row r="78" ht="12.75">
      <c r="AD78" s="30"/>
    </row>
    <row r="79" ht="12.75">
      <c r="AD79" s="30"/>
    </row>
    <row r="80" ht="12.75">
      <c r="AD80" s="30"/>
    </row>
    <row r="81" ht="12.75">
      <c r="AD81" s="30"/>
    </row>
    <row r="82" ht="12.75">
      <c r="AD82" s="30"/>
    </row>
    <row r="83" ht="12.75">
      <c r="AD83" s="30"/>
    </row>
    <row r="84" ht="12.75">
      <c r="AD84" s="30"/>
    </row>
    <row r="85" ht="12.75">
      <c r="AD85" s="30"/>
    </row>
    <row r="86" ht="12.75">
      <c r="AD86" s="30"/>
    </row>
    <row r="87" ht="12.75">
      <c r="AD87" s="30"/>
    </row>
    <row r="88" ht="12.75">
      <c r="AD88" s="30"/>
    </row>
    <row r="89" ht="12.75">
      <c r="AD89" s="30"/>
    </row>
    <row r="90" ht="12.75">
      <c r="AD90" s="30"/>
    </row>
    <row r="91" ht="12.75">
      <c r="AD91" s="30"/>
    </row>
    <row r="92" ht="12.75">
      <c r="AD92" s="30"/>
    </row>
    <row r="93" ht="12.75">
      <c r="AD93" s="30"/>
    </row>
    <row r="94" ht="12.75">
      <c r="AD94" s="30"/>
    </row>
    <row r="95" ht="12.75">
      <c r="AD95" s="30"/>
    </row>
    <row r="96" ht="12.75">
      <c r="AD96" s="30"/>
    </row>
    <row r="97" ht="12.75">
      <c r="AD97" s="30"/>
    </row>
    <row r="98" ht="12.75">
      <c r="AD98" s="30"/>
    </row>
    <row r="99" ht="12.75">
      <c r="AD99" s="30"/>
    </row>
    <row r="100" ht="12.75">
      <c r="AD100" s="30"/>
    </row>
    <row r="101" ht="12.75">
      <c r="AD101" s="30"/>
    </row>
    <row r="102" ht="12.75">
      <c r="AD102" s="30"/>
    </row>
    <row r="103" ht="12.75">
      <c r="AD103" s="30"/>
    </row>
    <row r="104" ht="12.75">
      <c r="AD104" s="30"/>
    </row>
    <row r="105" ht="12.75">
      <c r="AD105" s="30"/>
    </row>
    <row r="106" ht="12.75">
      <c r="AD106" s="30"/>
    </row>
    <row r="107" ht="12.75">
      <c r="AD107" s="30"/>
    </row>
    <row r="108" ht="12.75">
      <c r="AD108" s="30"/>
    </row>
    <row r="109" ht="12.75">
      <c r="AD109" s="30"/>
    </row>
    <row r="110" ht="12.75">
      <c r="AD110" s="30"/>
    </row>
    <row r="111" ht="12.75">
      <c r="AD111" s="30"/>
    </row>
    <row r="112" ht="12.75">
      <c r="AD112" s="30"/>
    </row>
    <row r="113" ht="12.75">
      <c r="AD113" s="30"/>
    </row>
    <row r="114" ht="12.75">
      <c r="AD114" s="30"/>
    </row>
    <row r="115" ht="12.75">
      <c r="AD115" s="30"/>
    </row>
    <row r="116" ht="12.75">
      <c r="AD116" s="30"/>
    </row>
    <row r="117" ht="12.75">
      <c r="AD117" s="30"/>
    </row>
    <row r="118" ht="12.75">
      <c r="AD118" s="30"/>
    </row>
    <row r="119" ht="12.75">
      <c r="AD119" s="30"/>
    </row>
    <row r="120" ht="12.75">
      <c r="AD120" s="30"/>
    </row>
    <row r="121" ht="12.75">
      <c r="AD121" s="30"/>
    </row>
    <row r="122" ht="12.75">
      <c r="AD122" s="30"/>
    </row>
    <row r="123" ht="12.75">
      <c r="AD123" s="30"/>
    </row>
    <row r="124" ht="12.75">
      <c r="AD124" s="30"/>
    </row>
    <row r="125" ht="12.75">
      <c r="AD125" s="30"/>
    </row>
    <row r="126" ht="12.75">
      <c r="AD126" s="30"/>
    </row>
    <row r="127" ht="12.75">
      <c r="AD127" s="30"/>
    </row>
    <row r="128" ht="12.75">
      <c r="AD128" s="30"/>
    </row>
    <row r="129" ht="12.75">
      <c r="AD129" s="30"/>
    </row>
    <row r="130" ht="12.75">
      <c r="AD130" s="30"/>
    </row>
    <row r="131" ht="12.75">
      <c r="AD131" s="30"/>
    </row>
    <row r="132" ht="12.75">
      <c r="AD132" s="30"/>
    </row>
    <row r="133" ht="12.75">
      <c r="AD133" s="30"/>
    </row>
    <row r="134" ht="12.75">
      <c r="AD134" s="30"/>
    </row>
    <row r="135" ht="12.75">
      <c r="AD135" s="30"/>
    </row>
    <row r="136" ht="12.75">
      <c r="AD136" s="30"/>
    </row>
    <row r="137" ht="12.75">
      <c r="AD137" s="30"/>
    </row>
    <row r="138" ht="12.75">
      <c r="AD138" s="30"/>
    </row>
    <row r="139" ht="12.75">
      <c r="AD139" s="30"/>
    </row>
    <row r="140" ht="12.75">
      <c r="AD140" s="30"/>
    </row>
    <row r="141" ht="12.75">
      <c r="AD141" s="30"/>
    </row>
    <row r="142" ht="12.75">
      <c r="AD142" s="30"/>
    </row>
    <row r="143" ht="12.75">
      <c r="AD143" s="30"/>
    </row>
    <row r="144" ht="12.75">
      <c r="AD144" s="30"/>
    </row>
    <row r="145" ht="12.75">
      <c r="AD145" s="30"/>
    </row>
    <row r="146" ht="12.75">
      <c r="AD146" s="30"/>
    </row>
    <row r="147" ht="12.75">
      <c r="AD147" s="30"/>
    </row>
    <row r="148" ht="12.75">
      <c r="AD148" s="30"/>
    </row>
    <row r="149" ht="12.75">
      <c r="AD149" s="30"/>
    </row>
    <row r="150" ht="12.75">
      <c r="AD150" s="30"/>
    </row>
    <row r="151" ht="12.75">
      <c r="AD151" s="30"/>
    </row>
    <row r="152" ht="12.75">
      <c r="AD152" s="30"/>
    </row>
    <row r="153" ht="12.75">
      <c r="AD153" s="30"/>
    </row>
    <row r="154" ht="12.75">
      <c r="AD154" s="30"/>
    </row>
    <row r="155" ht="12.75">
      <c r="AD155" s="30"/>
    </row>
    <row r="156" ht="12.75">
      <c r="AD156" s="30"/>
    </row>
    <row r="157" ht="12.75">
      <c r="AD157" s="30"/>
    </row>
    <row r="158" ht="12.75">
      <c r="AD158" s="30"/>
    </row>
    <row r="159" ht="12.75">
      <c r="AD159" s="30"/>
    </row>
    <row r="160" ht="12.75">
      <c r="AD160" s="30"/>
    </row>
    <row r="161" ht="12.75">
      <c r="AD161" s="30"/>
    </row>
    <row r="162" ht="12.75">
      <c r="AD162" s="30"/>
    </row>
    <row r="163" ht="12.75">
      <c r="AD163" s="30"/>
    </row>
    <row r="164" ht="12.75">
      <c r="AD164" s="30"/>
    </row>
    <row r="165" ht="12.75">
      <c r="AD165" s="30"/>
    </row>
    <row r="166" ht="12.75">
      <c r="AD166" s="30"/>
    </row>
    <row r="167" ht="12.75">
      <c r="AD167" s="30"/>
    </row>
    <row r="168" ht="12.75">
      <c r="AD168" s="30"/>
    </row>
    <row r="169" ht="12.75">
      <c r="AD169" s="30"/>
    </row>
    <row r="170" ht="12.75">
      <c r="AD170" s="30"/>
    </row>
    <row r="171" ht="12.75">
      <c r="AD171" s="30"/>
    </row>
    <row r="172" ht="12.75">
      <c r="AD172" s="30"/>
    </row>
    <row r="173" ht="12.75">
      <c r="AD173" s="30"/>
    </row>
    <row r="174" ht="12.75">
      <c r="AD174" s="30"/>
    </row>
    <row r="175" ht="12.75">
      <c r="AD175" s="30"/>
    </row>
    <row r="176" ht="12.75">
      <c r="AD176" s="30"/>
    </row>
    <row r="177" ht="12.75">
      <c r="AD177" s="30"/>
    </row>
    <row r="178" ht="12.75">
      <c r="AD178" s="30"/>
    </row>
    <row r="179" ht="12.75">
      <c r="AD179" s="30"/>
    </row>
    <row r="180" ht="12.75">
      <c r="AD180" s="30"/>
    </row>
    <row r="181" ht="12.75">
      <c r="AD181" s="30"/>
    </row>
    <row r="182" ht="12.75">
      <c r="AD182" s="30"/>
    </row>
    <row r="183" ht="12.75">
      <c r="AD183" s="30"/>
    </row>
    <row r="184" ht="12.75">
      <c r="AD184" s="30"/>
    </row>
    <row r="185" ht="12.75">
      <c r="AD185" s="30"/>
    </row>
    <row r="186" ht="12.75">
      <c r="AD186" s="30"/>
    </row>
    <row r="187" ht="12.75">
      <c r="AD187" s="30"/>
    </row>
    <row r="188" ht="12.75">
      <c r="AD188" s="30"/>
    </row>
    <row r="189" ht="12.75">
      <c r="AD189" s="30"/>
    </row>
    <row r="190" ht="12.75">
      <c r="AD190" s="30"/>
    </row>
    <row r="191" ht="12.75">
      <c r="AD191" s="30"/>
    </row>
    <row r="192" ht="12.75">
      <c r="AD192" s="30"/>
    </row>
    <row r="193" ht="12.75">
      <c r="AD193" s="30"/>
    </row>
    <row r="194" ht="12.75">
      <c r="AD194" s="30"/>
    </row>
    <row r="195" ht="12.75">
      <c r="AD195" s="30"/>
    </row>
    <row r="196" ht="12.75">
      <c r="AD196" s="30"/>
    </row>
    <row r="197" ht="12.75">
      <c r="AD197" s="30"/>
    </row>
    <row r="198" ht="12.75">
      <c r="AD198" s="30"/>
    </row>
    <row r="199" ht="12.75">
      <c r="AD199" s="30"/>
    </row>
    <row r="200" ht="12.75">
      <c r="AD200" s="30"/>
    </row>
    <row r="201" ht="12.75">
      <c r="AD201" s="30"/>
    </row>
    <row r="202" ht="12.75">
      <c r="AD202" s="30"/>
    </row>
    <row r="203" ht="12.75">
      <c r="AD203" s="30"/>
    </row>
    <row r="204" ht="12.75">
      <c r="AD204" s="30"/>
    </row>
    <row r="205" ht="12.75">
      <c r="AD205" s="30"/>
    </row>
    <row r="206" ht="12.75">
      <c r="AD206" s="30"/>
    </row>
    <row r="207" ht="12.75">
      <c r="AD207" s="30"/>
    </row>
    <row r="208" ht="12.75">
      <c r="AD208" s="30"/>
    </row>
    <row r="209" ht="12.75">
      <c r="AD209" s="30"/>
    </row>
    <row r="210" ht="12.75">
      <c r="AD210" s="30"/>
    </row>
    <row r="211" ht="12.75">
      <c r="AD211" s="30"/>
    </row>
    <row r="212" ht="12.75">
      <c r="AD212" s="30"/>
    </row>
    <row r="213" ht="12.75">
      <c r="AD213" s="30"/>
    </row>
    <row r="214" ht="12.75">
      <c r="AD214" s="30"/>
    </row>
    <row r="215" ht="12.75">
      <c r="AD215" s="30"/>
    </row>
    <row r="216" ht="12.75">
      <c r="AD216" s="30"/>
    </row>
    <row r="217" ht="12.75">
      <c r="AD217" s="30"/>
    </row>
    <row r="218" ht="12.75">
      <c r="AD218" s="30"/>
    </row>
    <row r="219" ht="12.75">
      <c r="AD219" s="30"/>
    </row>
    <row r="220" ht="12.75">
      <c r="AD220" s="30"/>
    </row>
    <row r="221" ht="12.75">
      <c r="AD221" s="30"/>
    </row>
    <row r="222" ht="12.75">
      <c r="AD222" s="30"/>
    </row>
    <row r="223" ht="12.75">
      <c r="AD223" s="30"/>
    </row>
    <row r="224" ht="12.75">
      <c r="AD224" s="30"/>
    </row>
    <row r="225" ht="12.75">
      <c r="AD225" s="30"/>
    </row>
    <row r="226" ht="12.75">
      <c r="AD226" s="30"/>
    </row>
    <row r="227" ht="12.75">
      <c r="AD227" s="30"/>
    </row>
    <row r="228" ht="12.75">
      <c r="AD228" s="30"/>
    </row>
    <row r="229" ht="12.75">
      <c r="AD229" s="30"/>
    </row>
    <row r="230" ht="12.75">
      <c r="AD230" s="30"/>
    </row>
    <row r="231" ht="12.75">
      <c r="AD231" s="30"/>
    </row>
    <row r="232" ht="12.75">
      <c r="AD232" s="30"/>
    </row>
    <row r="233" ht="12.75">
      <c r="AD233" s="30"/>
    </row>
    <row r="234" ht="12.75">
      <c r="AD234" s="30"/>
    </row>
    <row r="235" ht="12.75">
      <c r="AD235" s="30"/>
    </row>
    <row r="236" ht="12.75">
      <c r="AD236" s="30"/>
    </row>
    <row r="237" ht="12.75">
      <c r="AD237" s="30"/>
    </row>
    <row r="238" ht="12.75">
      <c r="AD238" s="30"/>
    </row>
    <row r="239" ht="12.75">
      <c r="AD239" s="30"/>
    </row>
    <row r="240" ht="12.75">
      <c r="AD240" s="30"/>
    </row>
    <row r="241" ht="12.75">
      <c r="AD241" s="30"/>
    </row>
    <row r="242" ht="12.75">
      <c r="AD242" s="30"/>
    </row>
    <row r="243" ht="12.75">
      <c r="AD243" s="30"/>
    </row>
    <row r="244" ht="12.75">
      <c r="AD244" s="30"/>
    </row>
    <row r="245" ht="12.75">
      <c r="AD245" s="30"/>
    </row>
    <row r="246" ht="12.75">
      <c r="AD246" s="30"/>
    </row>
    <row r="247" ht="12.75">
      <c r="AD247" s="30"/>
    </row>
    <row r="248" ht="12.75">
      <c r="AD248" s="30"/>
    </row>
    <row r="249" ht="12.75">
      <c r="AD249" s="30"/>
    </row>
    <row r="250" ht="12.75">
      <c r="AD250" s="30"/>
    </row>
    <row r="251" ht="12.75">
      <c r="AD251" s="30"/>
    </row>
    <row r="252" ht="12.75">
      <c r="AD252" s="30"/>
    </row>
    <row r="253" ht="12.75">
      <c r="AD253" s="30"/>
    </row>
    <row r="254" ht="12.75">
      <c r="AD254" s="30"/>
    </row>
    <row r="255" ht="12.75">
      <c r="AD255" s="30"/>
    </row>
    <row r="256" ht="12.75">
      <c r="AD256" s="30"/>
    </row>
    <row r="257" ht="12.75">
      <c r="AD257" s="30"/>
    </row>
    <row r="258" ht="12.75">
      <c r="AD258" s="30"/>
    </row>
    <row r="259" ht="12.75">
      <c r="AD259" s="30"/>
    </row>
    <row r="260" ht="12.75">
      <c r="AD260" s="30"/>
    </row>
    <row r="261" ht="12.75">
      <c r="AD261" s="30"/>
    </row>
    <row r="262" ht="12.75">
      <c r="AD262" s="30"/>
    </row>
    <row r="263" ht="12.75">
      <c r="AD263" s="30"/>
    </row>
    <row r="264" ht="12.75">
      <c r="AD264" s="30"/>
    </row>
    <row r="265" ht="12.75">
      <c r="AD265" s="30"/>
    </row>
    <row r="266" ht="12.75">
      <c r="AD266" s="30"/>
    </row>
    <row r="267" ht="12.75">
      <c r="AD267" s="30"/>
    </row>
    <row r="268" ht="12.75">
      <c r="AD268" s="30"/>
    </row>
    <row r="269" ht="12.75">
      <c r="AD269" s="30"/>
    </row>
    <row r="270" ht="12.75">
      <c r="AD270" s="30"/>
    </row>
    <row r="271" ht="12.75">
      <c r="AD271" s="30"/>
    </row>
    <row r="272" ht="12.75">
      <c r="AD272" s="30"/>
    </row>
    <row r="273" ht="12.75">
      <c r="AD273" s="30"/>
    </row>
    <row r="274" ht="12.75">
      <c r="AD274" s="30"/>
    </row>
    <row r="275" ht="12.75">
      <c r="AD275" s="30"/>
    </row>
    <row r="276" ht="12.75">
      <c r="AD276" s="30"/>
    </row>
    <row r="277" ht="12.75">
      <c r="AD277" s="30"/>
    </row>
    <row r="278" ht="12.75">
      <c r="AD278" s="30"/>
    </row>
    <row r="279" ht="12.75">
      <c r="AD279" s="30"/>
    </row>
    <row r="280" ht="12.75">
      <c r="AD280" s="30"/>
    </row>
    <row r="281" ht="12.75">
      <c r="AD281" s="30"/>
    </row>
    <row r="282" ht="12.75">
      <c r="AD282" s="30"/>
    </row>
    <row r="283" ht="12.75">
      <c r="AD283" s="30"/>
    </row>
    <row r="284" ht="12.75">
      <c r="AD284" s="30"/>
    </row>
    <row r="285" ht="12.75">
      <c r="AD285" s="30"/>
    </row>
    <row r="286" ht="12.75">
      <c r="AD286" s="30"/>
    </row>
    <row r="287" ht="12.75">
      <c r="AD287" s="30"/>
    </row>
    <row r="288" ht="12.75">
      <c r="AD288" s="30"/>
    </row>
    <row r="289" ht="12.75">
      <c r="AD289" s="30"/>
    </row>
    <row r="290" ht="12.75">
      <c r="AD290" s="30"/>
    </row>
    <row r="291" ht="12.75">
      <c r="AD291" s="30"/>
    </row>
    <row r="292" ht="12.75">
      <c r="AD292" s="30"/>
    </row>
    <row r="293" ht="12.75">
      <c r="AD293" s="30"/>
    </row>
    <row r="294" ht="12.75">
      <c r="AD294" s="30"/>
    </row>
    <row r="295" ht="12.75">
      <c r="AD295" s="30"/>
    </row>
    <row r="296" ht="12.75">
      <c r="AD296" s="30"/>
    </row>
    <row r="297" ht="12.75">
      <c r="AD297" s="30"/>
    </row>
    <row r="298" ht="12.75">
      <c r="AD298" s="30"/>
    </row>
    <row r="299" ht="12.75">
      <c r="AD299" s="30"/>
    </row>
    <row r="300" ht="12.75">
      <c r="AD300" s="30"/>
    </row>
    <row r="301" ht="12.75">
      <c r="AD301" s="30"/>
    </row>
    <row r="302" ht="12.75">
      <c r="AD302" s="30"/>
    </row>
    <row r="303" ht="12.75">
      <c r="AD303" s="30"/>
    </row>
    <row r="304" ht="12.75">
      <c r="AD304" s="30"/>
    </row>
    <row r="305" ht="12.75">
      <c r="AD305" s="30"/>
    </row>
    <row r="306" ht="12.75">
      <c r="AD306" s="30"/>
    </row>
    <row r="307" ht="12.75">
      <c r="AD307" s="30"/>
    </row>
    <row r="308" ht="12.75">
      <c r="AD308" s="30"/>
    </row>
    <row r="309" ht="12.75">
      <c r="AD309" s="30"/>
    </row>
    <row r="310" ht="12.75">
      <c r="AD310" s="30"/>
    </row>
    <row r="311" ht="12.75">
      <c r="AD311" s="30"/>
    </row>
  </sheetData>
  <sheetProtection/>
  <mergeCells count="8">
    <mergeCell ref="A16:B16"/>
    <mergeCell ref="A17:B17"/>
    <mergeCell ref="A15:B15"/>
    <mergeCell ref="A14:B14"/>
    <mergeCell ref="B1:Y2"/>
    <mergeCell ref="A4:B4"/>
    <mergeCell ref="A12:B12"/>
    <mergeCell ref="A13:B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C9"/>
    </sheetView>
  </sheetViews>
  <sheetFormatPr defaultColWidth="9.00390625" defaultRowHeight="12.75"/>
  <cols>
    <col min="1" max="1" width="4.75390625" style="23" customWidth="1"/>
    <col min="2" max="2" width="19.375" style="23" customWidth="1"/>
    <col min="3" max="3" width="12.625" style="23" customWidth="1"/>
    <col min="4" max="4" width="14.125" style="23" customWidth="1"/>
    <col min="5" max="5" width="11.125" style="32" customWidth="1"/>
    <col min="6" max="6" width="8.375" style="23" customWidth="1"/>
    <col min="7" max="7" width="13.125" style="23" customWidth="1"/>
    <col min="8" max="8" width="11.25390625" style="23" customWidth="1"/>
    <col min="9" max="9" width="14.125" style="23" customWidth="1"/>
    <col min="10" max="10" width="10.75390625" style="23" customWidth="1"/>
    <col min="11" max="11" width="15.25390625" style="23" customWidth="1"/>
    <col min="12" max="12" width="10.75390625" style="23" customWidth="1"/>
    <col min="13" max="13" width="11.625" style="23" customWidth="1"/>
    <col min="14" max="14" width="9.875" style="23" customWidth="1"/>
    <col min="15" max="15" width="9.75390625" style="23" customWidth="1"/>
    <col min="16" max="16" width="10.625" style="23" customWidth="1"/>
    <col min="17" max="17" width="14.00390625" style="23" customWidth="1"/>
    <col min="18" max="16384" width="9.125" style="23" customWidth="1"/>
  </cols>
  <sheetData>
    <row r="1" spans="2:17" ht="12.75" customHeight="1">
      <c r="B1" s="24"/>
      <c r="C1" s="256" t="s">
        <v>108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24.75" customHeight="1" thickBot="1">
      <c r="A2" s="25"/>
      <c r="B2" s="2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02" customHeight="1">
      <c r="A3" s="66" t="s">
        <v>1</v>
      </c>
      <c r="B3" s="35" t="s">
        <v>17</v>
      </c>
      <c r="C3" s="67" t="s">
        <v>99</v>
      </c>
      <c r="D3" s="67" t="s">
        <v>103</v>
      </c>
      <c r="E3" s="68" t="s">
        <v>100</v>
      </c>
      <c r="F3" s="68" t="s">
        <v>20</v>
      </c>
      <c r="G3" s="69" t="s">
        <v>4</v>
      </c>
      <c r="H3" s="67" t="s">
        <v>55</v>
      </c>
      <c r="I3" s="68" t="s">
        <v>102</v>
      </c>
      <c r="J3" s="68" t="s">
        <v>20</v>
      </c>
      <c r="K3" s="69" t="s">
        <v>9</v>
      </c>
      <c r="L3" s="67" t="s">
        <v>56</v>
      </c>
      <c r="M3" s="68" t="s">
        <v>101</v>
      </c>
      <c r="N3" s="68" t="s">
        <v>20</v>
      </c>
      <c r="O3" s="69" t="s">
        <v>10</v>
      </c>
      <c r="P3" s="69" t="s">
        <v>21</v>
      </c>
      <c r="Q3" s="69" t="s">
        <v>22</v>
      </c>
    </row>
    <row r="4" spans="1:17" ht="18.75">
      <c r="A4" s="42">
        <v>1</v>
      </c>
      <c r="B4" s="219" t="s">
        <v>62</v>
      </c>
      <c r="C4" s="87">
        <v>530</v>
      </c>
      <c r="D4" s="228">
        <v>18196</v>
      </c>
      <c r="E4" s="229" t="s">
        <v>3</v>
      </c>
      <c r="F4" s="209">
        <v>10</v>
      </c>
      <c r="G4" s="215">
        <f aca="true" t="shared" si="0" ref="G4:G9">ROUND($E$10*(F4/100)*(D4/$D$10),0)</f>
        <v>433</v>
      </c>
      <c r="H4" s="215">
        <v>43</v>
      </c>
      <c r="I4" s="229" t="s">
        <v>3</v>
      </c>
      <c r="J4" s="215">
        <v>100</v>
      </c>
      <c r="K4" s="215">
        <f aca="true" t="shared" si="1" ref="K4:K10">ROUND(($I$10*(J4/100)*(H4/$H$10)),0)</f>
        <v>92</v>
      </c>
      <c r="L4" s="215">
        <v>359</v>
      </c>
      <c r="M4" s="229" t="s">
        <v>3</v>
      </c>
      <c r="N4" s="215">
        <v>100</v>
      </c>
      <c r="O4" s="215">
        <f aca="true" t="shared" si="2" ref="O4:O9">ROUND(($M$10*(N4/100)*(L4/$L$10)),0)</f>
        <v>527</v>
      </c>
      <c r="P4" s="228">
        <f aca="true" t="shared" si="3" ref="P4:P10">G4+K4+O4</f>
        <v>1052</v>
      </c>
      <c r="Q4" s="230">
        <f aca="true" t="shared" si="4" ref="Q4:Q9">ROUND(((P4/C4)/($P$10/$C$10)),2)</f>
        <v>0.78</v>
      </c>
    </row>
    <row r="5" spans="1:17" ht="18.75">
      <c r="A5" s="42">
        <v>2</v>
      </c>
      <c r="B5" s="219" t="s">
        <v>63</v>
      </c>
      <c r="C5" s="204">
        <v>1414</v>
      </c>
      <c r="D5" s="228">
        <v>45491</v>
      </c>
      <c r="E5" s="229" t="s">
        <v>3</v>
      </c>
      <c r="F5" s="209">
        <v>10</v>
      </c>
      <c r="G5" s="215">
        <f t="shared" si="0"/>
        <v>1081</v>
      </c>
      <c r="H5" s="215">
        <v>369</v>
      </c>
      <c r="I5" s="229" t="s">
        <v>3</v>
      </c>
      <c r="J5" s="215">
        <v>100</v>
      </c>
      <c r="K5" s="215">
        <f t="shared" si="1"/>
        <v>788</v>
      </c>
      <c r="L5" s="215">
        <v>1147</v>
      </c>
      <c r="M5" s="229" t="s">
        <v>3</v>
      </c>
      <c r="N5" s="215">
        <v>100</v>
      </c>
      <c r="O5" s="215">
        <f t="shared" si="2"/>
        <v>1683</v>
      </c>
      <c r="P5" s="228">
        <f t="shared" si="3"/>
        <v>3552</v>
      </c>
      <c r="Q5" s="230">
        <f t="shared" si="4"/>
        <v>0.98</v>
      </c>
    </row>
    <row r="6" spans="1:17" ht="18.75">
      <c r="A6" s="42">
        <v>3</v>
      </c>
      <c r="B6" s="219" t="s">
        <v>64</v>
      </c>
      <c r="C6" s="87"/>
      <c r="D6" s="228"/>
      <c r="E6" s="229" t="s">
        <v>3</v>
      </c>
      <c r="F6" s="209">
        <v>10</v>
      </c>
      <c r="G6" s="215">
        <f t="shared" si="0"/>
        <v>0</v>
      </c>
      <c r="H6" s="215"/>
      <c r="I6" s="229" t="s">
        <v>3</v>
      </c>
      <c r="J6" s="215">
        <v>100</v>
      </c>
      <c r="K6" s="215">
        <f t="shared" si="1"/>
        <v>0</v>
      </c>
      <c r="L6" s="215"/>
      <c r="M6" s="229" t="s">
        <v>3</v>
      </c>
      <c r="N6" s="215">
        <v>100</v>
      </c>
      <c r="O6" s="215">
        <f t="shared" si="2"/>
        <v>0</v>
      </c>
      <c r="P6" s="228">
        <f t="shared" si="3"/>
        <v>0</v>
      </c>
      <c r="Q6" s="230" t="e">
        <f t="shared" si="4"/>
        <v>#DIV/0!</v>
      </c>
    </row>
    <row r="7" spans="1:17" ht="18.75">
      <c r="A7" s="42">
        <v>4</v>
      </c>
      <c r="B7" s="219" t="s">
        <v>65</v>
      </c>
      <c r="C7" s="11">
        <v>3596</v>
      </c>
      <c r="D7" s="228">
        <v>288106</v>
      </c>
      <c r="E7" s="229" t="s">
        <v>3</v>
      </c>
      <c r="F7" s="209">
        <v>10</v>
      </c>
      <c r="G7" s="215">
        <f t="shared" si="0"/>
        <v>6848</v>
      </c>
      <c r="H7" s="215">
        <v>319</v>
      </c>
      <c r="I7" s="229" t="s">
        <v>3</v>
      </c>
      <c r="J7" s="215">
        <v>100</v>
      </c>
      <c r="K7" s="215">
        <f t="shared" si="1"/>
        <v>681</v>
      </c>
      <c r="L7" s="215">
        <v>54</v>
      </c>
      <c r="M7" s="229" t="s">
        <v>3</v>
      </c>
      <c r="N7" s="215">
        <v>100</v>
      </c>
      <c r="O7" s="215">
        <f t="shared" si="2"/>
        <v>79</v>
      </c>
      <c r="P7" s="228">
        <f t="shared" si="3"/>
        <v>7608</v>
      </c>
      <c r="Q7" s="230">
        <f t="shared" si="4"/>
        <v>0.83</v>
      </c>
    </row>
    <row r="8" spans="1:17" ht="18.75">
      <c r="A8" s="42">
        <v>5</v>
      </c>
      <c r="B8" s="219" t="s">
        <v>66</v>
      </c>
      <c r="C8" s="11">
        <v>938</v>
      </c>
      <c r="D8" s="228">
        <v>36392</v>
      </c>
      <c r="E8" s="229" t="s">
        <v>3</v>
      </c>
      <c r="F8" s="209">
        <v>10</v>
      </c>
      <c r="G8" s="215">
        <f t="shared" si="0"/>
        <v>865</v>
      </c>
      <c r="H8" s="215">
        <v>455</v>
      </c>
      <c r="I8" s="229" t="s">
        <v>3</v>
      </c>
      <c r="J8" s="215">
        <v>100</v>
      </c>
      <c r="K8" s="215">
        <f t="shared" si="1"/>
        <v>972</v>
      </c>
      <c r="L8" s="215">
        <v>1040</v>
      </c>
      <c r="M8" s="229" t="s">
        <v>3</v>
      </c>
      <c r="N8" s="215">
        <v>100</v>
      </c>
      <c r="O8" s="215">
        <f t="shared" si="2"/>
        <v>1526</v>
      </c>
      <c r="P8" s="228">
        <f t="shared" si="3"/>
        <v>3363</v>
      </c>
      <c r="Q8" s="230">
        <f t="shared" si="4"/>
        <v>1.41</v>
      </c>
    </row>
    <row r="9" spans="1:17" ht="18.75">
      <c r="A9" s="42">
        <v>6</v>
      </c>
      <c r="B9" s="225" t="s">
        <v>67</v>
      </c>
      <c r="C9" s="11">
        <v>2002</v>
      </c>
      <c r="D9" s="228">
        <v>191060</v>
      </c>
      <c r="E9" s="229" t="s">
        <v>3</v>
      </c>
      <c r="F9" s="209">
        <v>10</v>
      </c>
      <c r="G9" s="215">
        <f t="shared" si="0"/>
        <v>4541</v>
      </c>
      <c r="H9" s="215">
        <v>532</v>
      </c>
      <c r="I9" s="229" t="s">
        <v>3</v>
      </c>
      <c r="J9" s="215">
        <v>100</v>
      </c>
      <c r="K9" s="215">
        <f t="shared" si="1"/>
        <v>1136</v>
      </c>
      <c r="L9" s="215">
        <v>264</v>
      </c>
      <c r="M9" s="229"/>
      <c r="N9" s="215">
        <v>100</v>
      </c>
      <c r="O9" s="215">
        <f t="shared" si="2"/>
        <v>387</v>
      </c>
      <c r="P9" s="228">
        <f t="shared" si="3"/>
        <v>6064</v>
      </c>
      <c r="Q9" s="230">
        <f t="shared" si="4"/>
        <v>1.19</v>
      </c>
    </row>
    <row r="10" spans="1:17" s="65" customFormat="1" ht="19.5" thickBot="1">
      <c r="A10" s="70"/>
      <c r="B10" s="231" t="s">
        <v>0</v>
      </c>
      <c r="C10" s="232">
        <f>SUM(C4:C9)</f>
        <v>8480</v>
      </c>
      <c r="D10" s="233">
        <f>SUM(D4:D9)</f>
        <v>579245</v>
      </c>
      <c r="E10" s="234">
        <v>137685.5</v>
      </c>
      <c r="F10" s="235">
        <v>10</v>
      </c>
      <c r="G10" s="236">
        <f>SUM(G4:G9)</f>
        <v>13768</v>
      </c>
      <c r="H10" s="236">
        <f>SUM(H4:H9)</f>
        <v>1718</v>
      </c>
      <c r="I10" s="237">
        <v>3668.3</v>
      </c>
      <c r="J10" s="236">
        <v>100</v>
      </c>
      <c r="K10" s="211">
        <f t="shared" si="1"/>
        <v>3668</v>
      </c>
      <c r="L10" s="236">
        <f>SUM(L4:L9)</f>
        <v>2864</v>
      </c>
      <c r="M10" s="237">
        <v>4203.5</v>
      </c>
      <c r="N10" s="236">
        <v>100</v>
      </c>
      <c r="O10" s="236">
        <f>SUM(O4:O9)</f>
        <v>4202</v>
      </c>
      <c r="P10" s="228">
        <f t="shared" si="3"/>
        <v>21638</v>
      </c>
      <c r="Q10" s="238">
        <f>ROUND(((P10/C10)/($P$10/$C$10)),2)</f>
        <v>1</v>
      </c>
    </row>
    <row r="11" s="30" customFormat="1" ht="12.75">
      <c r="E11" s="31"/>
    </row>
    <row r="12" s="30" customFormat="1" ht="12.75">
      <c r="E12" s="31"/>
    </row>
    <row r="13" ht="12.75">
      <c r="D13" s="88"/>
    </row>
    <row r="14" ht="13.5" thickBot="1">
      <c r="D14" s="79"/>
    </row>
    <row r="15" spans="2:13" ht="136.5" customHeight="1" thickBot="1">
      <c r="B15" s="92"/>
      <c r="C15" s="91"/>
      <c r="D15" s="91"/>
      <c r="E15" s="91"/>
      <c r="F15" s="93"/>
      <c r="H15" s="115"/>
      <c r="I15" s="113"/>
      <c r="J15" s="115"/>
      <c r="K15" s="116"/>
      <c r="L15" s="76"/>
      <c r="M15" s="76"/>
    </row>
    <row r="16" spans="2:17" ht="15.75">
      <c r="B16" s="6"/>
      <c r="C16" s="89"/>
      <c r="D16" s="90"/>
      <c r="E16" s="122"/>
      <c r="F16" s="95"/>
      <c r="G16" s="57"/>
      <c r="H16" s="42"/>
      <c r="I16" s="114"/>
      <c r="J16" s="42"/>
      <c r="K16" s="117"/>
      <c r="L16" s="76"/>
      <c r="M16" s="76"/>
      <c r="Q16" s="63"/>
    </row>
    <row r="17" spans="2:17" ht="15.75">
      <c r="B17" s="6"/>
      <c r="C17" s="89"/>
      <c r="D17" s="90"/>
      <c r="E17" s="27"/>
      <c r="F17" s="96"/>
      <c r="G17" s="57"/>
      <c r="H17" s="42"/>
      <c r="I17" s="114"/>
      <c r="J17" s="42"/>
      <c r="K17" s="117"/>
      <c r="L17" s="76"/>
      <c r="M17" s="76"/>
      <c r="Q17" s="63"/>
    </row>
    <row r="18" spans="2:17" ht="15.75">
      <c r="B18" s="6"/>
      <c r="C18" s="89"/>
      <c r="D18" s="90"/>
      <c r="E18" s="27"/>
      <c r="F18" s="96"/>
      <c r="G18" s="57"/>
      <c r="H18" s="42"/>
      <c r="I18" s="114"/>
      <c r="J18" s="42"/>
      <c r="K18" s="117"/>
      <c r="L18" s="76"/>
      <c r="M18" s="76"/>
      <c r="Q18" s="63"/>
    </row>
    <row r="19" spans="2:17" ht="15.75">
      <c r="B19" s="6"/>
      <c r="C19" s="89"/>
      <c r="D19" s="90"/>
      <c r="E19" s="27"/>
      <c r="F19" s="96"/>
      <c r="G19" s="57"/>
      <c r="H19" s="42"/>
      <c r="I19" s="114"/>
      <c r="J19" s="42"/>
      <c r="K19" s="117"/>
      <c r="L19" s="76"/>
      <c r="M19" s="76"/>
      <c r="Q19" s="63"/>
    </row>
    <row r="20" spans="2:17" ht="15.75">
      <c r="B20" s="6"/>
      <c r="C20" s="89"/>
      <c r="D20" s="90"/>
      <c r="E20" s="27"/>
      <c r="F20" s="96"/>
      <c r="G20" s="57"/>
      <c r="H20" s="42"/>
      <c r="I20" s="114"/>
      <c r="J20" s="42"/>
      <c r="K20" s="117"/>
      <c r="L20" s="76"/>
      <c r="M20" s="76"/>
      <c r="Q20" s="63"/>
    </row>
    <row r="21" spans="2:17" ht="15.75">
      <c r="B21" s="64"/>
      <c r="C21" s="89"/>
      <c r="D21" s="90"/>
      <c r="E21" s="27"/>
      <c r="F21" s="96"/>
      <c r="G21" s="57"/>
      <c r="H21" s="42"/>
      <c r="I21" s="114"/>
      <c r="J21" s="42"/>
      <c r="K21" s="117"/>
      <c r="L21" s="76"/>
      <c r="M21" s="76"/>
      <c r="Q21" s="63"/>
    </row>
    <row r="22" spans="2:13" ht="13.5" thickBot="1">
      <c r="B22" s="47"/>
      <c r="C22" s="110"/>
      <c r="D22" s="94"/>
      <c r="E22" s="123"/>
      <c r="F22" s="97"/>
      <c r="G22" s="57"/>
      <c r="H22" s="118"/>
      <c r="I22" s="120"/>
      <c r="J22" s="70"/>
      <c r="K22" s="119"/>
      <c r="L22" s="76"/>
      <c r="M22" s="76"/>
    </row>
  </sheetData>
  <sheetProtection/>
  <mergeCells count="1">
    <mergeCell ref="C1:Q2"/>
  </mergeCells>
  <printOptions horizontalCentered="1"/>
  <pageMargins left="0.2755905511811024" right="0.1968503937007874" top="0.15748031496062992" bottom="0.1968503937007874" header="0.15748031496062992" footer="0.2362204724409449"/>
  <pageSetup fitToHeight="1" fitToWidth="1" horizontalDpi="600" verticalDpi="600" orientation="landscape" paperSize="8" scale="89" r:id="rId1"/>
  <colBreaks count="1" manualBreakCount="1">
    <brk id="11" max="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W130"/>
  <sheetViews>
    <sheetView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9" sqref="J9"/>
    </sheetView>
  </sheetViews>
  <sheetFormatPr defaultColWidth="9.00390625" defaultRowHeight="12.75"/>
  <cols>
    <col min="1" max="1" width="47.25390625" style="134" customWidth="1"/>
    <col min="2" max="2" width="9.375" style="134" customWidth="1"/>
    <col min="3" max="5" width="7.00390625" style="134" customWidth="1"/>
    <col min="6" max="6" width="7.25390625" style="134" hidden="1" customWidth="1"/>
    <col min="7" max="7" width="4.25390625" style="134" customWidth="1"/>
    <col min="8" max="8" width="6.125" style="134" customWidth="1"/>
    <col min="9" max="9" width="8.625" style="134" customWidth="1"/>
    <col min="10" max="10" width="10.375" style="134" customWidth="1"/>
    <col min="11" max="11" width="7.625" style="134" customWidth="1"/>
    <col min="12" max="12" width="6.125" style="134" customWidth="1"/>
    <col min="13" max="13" width="7.00390625" style="134" customWidth="1"/>
    <col min="14" max="14" width="7.25390625" style="134" hidden="1" customWidth="1"/>
    <col min="15" max="15" width="3.625" style="134" customWidth="1"/>
    <col min="16" max="16" width="9.25390625" style="134" bestFit="1" customWidth="1"/>
    <col min="17" max="17" width="9.00390625" style="134" customWidth="1"/>
    <col min="18" max="18" width="7.25390625" style="134" bestFit="1" customWidth="1"/>
    <col min="19" max="19" width="7.75390625" style="134" customWidth="1"/>
    <col min="20" max="20" width="4.875" style="134" customWidth="1"/>
    <col min="21" max="21" width="8.625" style="134" customWidth="1"/>
    <col min="22" max="23" width="7.375" style="134" customWidth="1"/>
    <col min="24" max="24" width="7.25390625" style="134" bestFit="1" customWidth="1"/>
    <col min="25" max="25" width="7.00390625" style="134" customWidth="1"/>
    <col min="26" max="26" width="7.25390625" style="134" hidden="1" customWidth="1"/>
    <col min="27" max="27" width="2.125" style="134" customWidth="1"/>
    <col min="28" max="28" width="9.625" style="134" customWidth="1"/>
    <col min="29" max="30" width="7.625" style="134" customWidth="1"/>
    <col min="31" max="31" width="6.125" style="134" bestFit="1" customWidth="1"/>
    <col min="32" max="33" width="8.00390625" style="134" customWidth="1"/>
    <col min="34" max="34" width="3.125" style="134" customWidth="1"/>
    <col min="35" max="36" width="10.25390625" style="134" customWidth="1"/>
    <col min="37" max="37" width="8.625" style="134" customWidth="1"/>
    <col min="38" max="38" width="7.625" style="134" customWidth="1"/>
    <col min="39" max="40" width="7.25390625" style="134" customWidth="1"/>
    <col min="41" max="41" width="7.25390625" style="134" bestFit="1" customWidth="1"/>
    <col min="42" max="42" width="9.125" style="134" bestFit="1" customWidth="1"/>
    <col min="43" max="43" width="7.25390625" style="134" customWidth="1"/>
    <col min="44" max="44" width="8.375" style="134" bestFit="1" customWidth="1"/>
    <col min="45" max="46" width="8.375" style="134" customWidth="1"/>
    <col min="47" max="47" width="4.25390625" style="134" customWidth="1"/>
    <col min="48" max="48" width="14.125" style="134" customWidth="1"/>
    <col min="49" max="49" width="9.25390625" style="134" bestFit="1" customWidth="1"/>
    <col min="50" max="16384" width="9.125" style="134" customWidth="1"/>
  </cols>
  <sheetData>
    <row r="1" spans="1:16" ht="23.25">
      <c r="A1" s="133" t="s">
        <v>109</v>
      </c>
      <c r="B1" s="133"/>
      <c r="C1" s="133"/>
      <c r="D1" s="133"/>
      <c r="J1" s="135"/>
      <c r="K1" s="135"/>
      <c r="L1" s="135"/>
      <c r="M1" s="136"/>
      <c r="N1" s="136"/>
      <c r="O1" s="136"/>
      <c r="P1" s="136"/>
    </row>
    <row r="2" ht="16.5" thickBot="1"/>
    <row r="3" spans="1:48" s="141" customFormat="1" ht="16.5" thickBot="1">
      <c r="A3" s="137" t="s">
        <v>28</v>
      </c>
      <c r="B3" s="138" t="s">
        <v>68</v>
      </c>
      <c r="C3" s="139"/>
      <c r="D3" s="139"/>
      <c r="E3" s="139"/>
      <c r="F3" s="139"/>
      <c r="G3" s="139"/>
      <c r="H3" s="139"/>
      <c r="I3" s="139"/>
      <c r="J3" s="138" t="s">
        <v>69</v>
      </c>
      <c r="K3" s="139"/>
      <c r="L3" s="139"/>
      <c r="M3" s="139"/>
      <c r="N3" s="139"/>
      <c r="O3" s="139"/>
      <c r="P3" s="140"/>
      <c r="Q3" s="139" t="s">
        <v>70</v>
      </c>
      <c r="R3" s="139"/>
      <c r="S3" s="139"/>
      <c r="T3" s="139"/>
      <c r="U3" s="140"/>
      <c r="V3" s="139" t="s">
        <v>72</v>
      </c>
      <c r="W3" s="139"/>
      <c r="X3" s="139" t="s">
        <v>71</v>
      </c>
      <c r="Y3" s="139"/>
      <c r="Z3" s="139"/>
      <c r="AA3" s="139"/>
      <c r="AB3" s="140"/>
      <c r="AC3" s="139" t="s">
        <v>73</v>
      </c>
      <c r="AD3" s="139"/>
      <c r="AE3" s="139"/>
      <c r="AF3" s="139"/>
      <c r="AG3" s="139"/>
      <c r="AH3" s="139"/>
      <c r="AI3" s="140"/>
      <c r="AJ3" s="139" t="s">
        <v>74</v>
      </c>
      <c r="AK3" s="139"/>
      <c r="AL3" s="139"/>
      <c r="AM3" s="139"/>
      <c r="AN3" s="139"/>
      <c r="AO3" s="139"/>
      <c r="AP3" s="138" t="s">
        <v>27</v>
      </c>
      <c r="AQ3" s="139"/>
      <c r="AR3" s="139"/>
      <c r="AS3" s="139"/>
      <c r="AT3" s="139"/>
      <c r="AU3" s="139"/>
      <c r="AV3" s="140"/>
    </row>
    <row r="4" spans="1:48" s="141" customFormat="1" ht="63.75" thickBot="1">
      <c r="A4" s="137"/>
      <c r="B4" s="142" t="s">
        <v>30</v>
      </c>
      <c r="C4" s="143" t="s">
        <v>75</v>
      </c>
      <c r="D4" s="143" t="s">
        <v>31</v>
      </c>
      <c r="E4" s="144" t="s">
        <v>78</v>
      </c>
      <c r="F4" s="144" t="s">
        <v>76</v>
      </c>
      <c r="G4" s="144" t="s">
        <v>89</v>
      </c>
      <c r="H4" s="144" t="s">
        <v>95</v>
      </c>
      <c r="I4" s="168" t="s">
        <v>29</v>
      </c>
      <c r="J4" s="142" t="s">
        <v>30</v>
      </c>
      <c r="K4" s="145" t="s">
        <v>75</v>
      </c>
      <c r="L4" s="145" t="s">
        <v>31</v>
      </c>
      <c r="M4" s="146" t="s">
        <v>78</v>
      </c>
      <c r="N4" s="144" t="s">
        <v>76</v>
      </c>
      <c r="O4" s="144" t="s">
        <v>89</v>
      </c>
      <c r="P4" s="169" t="s">
        <v>29</v>
      </c>
      <c r="Q4" s="145" t="s">
        <v>30</v>
      </c>
      <c r="R4" s="146" t="s">
        <v>31</v>
      </c>
      <c r="S4" s="144" t="s">
        <v>77</v>
      </c>
      <c r="T4" s="144" t="s">
        <v>89</v>
      </c>
      <c r="U4" s="169" t="s">
        <v>29</v>
      </c>
      <c r="V4" s="145" t="s">
        <v>30</v>
      </c>
      <c r="W4" s="145" t="s">
        <v>75</v>
      </c>
      <c r="X4" s="146" t="s">
        <v>31</v>
      </c>
      <c r="Y4" s="144" t="s">
        <v>77</v>
      </c>
      <c r="Z4" s="144" t="s">
        <v>76</v>
      </c>
      <c r="AA4" s="144" t="s">
        <v>89</v>
      </c>
      <c r="AB4" s="169" t="s">
        <v>29</v>
      </c>
      <c r="AC4" s="145" t="s">
        <v>30</v>
      </c>
      <c r="AD4" s="145" t="s">
        <v>75</v>
      </c>
      <c r="AE4" s="146" t="s">
        <v>31</v>
      </c>
      <c r="AF4" s="146" t="s">
        <v>77</v>
      </c>
      <c r="AG4" s="144" t="s">
        <v>95</v>
      </c>
      <c r="AH4" s="144" t="s">
        <v>89</v>
      </c>
      <c r="AI4" s="169" t="s">
        <v>29</v>
      </c>
      <c r="AJ4" s="145" t="s">
        <v>30</v>
      </c>
      <c r="AK4" s="145" t="s">
        <v>75</v>
      </c>
      <c r="AL4" s="146" t="s">
        <v>78</v>
      </c>
      <c r="AM4" s="146" t="s">
        <v>31</v>
      </c>
      <c r="AN4" s="144" t="s">
        <v>89</v>
      </c>
      <c r="AO4" s="168" t="s">
        <v>29</v>
      </c>
      <c r="AP4" s="142" t="s">
        <v>30</v>
      </c>
      <c r="AQ4" s="144" t="s">
        <v>75</v>
      </c>
      <c r="AR4" s="146" t="s">
        <v>31</v>
      </c>
      <c r="AS4" s="144" t="s">
        <v>77</v>
      </c>
      <c r="AT4" s="144" t="s">
        <v>95</v>
      </c>
      <c r="AU4" s="144" t="s">
        <v>89</v>
      </c>
      <c r="AV4" s="169" t="s">
        <v>29</v>
      </c>
    </row>
    <row r="5" spans="1:49" s="141" customFormat="1" ht="16.5" customHeight="1">
      <c r="A5" s="147" t="s">
        <v>32</v>
      </c>
      <c r="B5" s="127">
        <f>B6+B7</f>
        <v>2737</v>
      </c>
      <c r="C5" s="127">
        <f>C6+C7</f>
        <v>2695</v>
      </c>
      <c r="D5" s="128"/>
      <c r="E5" s="128"/>
      <c r="F5" s="127">
        <f>F6+F7</f>
        <v>0</v>
      </c>
      <c r="G5" s="128"/>
      <c r="H5" s="128"/>
      <c r="I5" s="128">
        <f>B5+C5+F5</f>
        <v>5432</v>
      </c>
      <c r="J5" s="148">
        <f>J6+J7</f>
        <v>2919</v>
      </c>
      <c r="K5" s="148">
        <f>K6+K7</f>
        <v>2695</v>
      </c>
      <c r="L5" s="149"/>
      <c r="M5" s="149"/>
      <c r="N5" s="148">
        <f>N6+N7</f>
        <v>0</v>
      </c>
      <c r="O5" s="149"/>
      <c r="P5" s="170">
        <f>J5+K5+L5+M5+O5</f>
        <v>5614</v>
      </c>
      <c r="Q5" s="128">
        <f>Q6+Q7</f>
        <v>0</v>
      </c>
      <c r="R5" s="128"/>
      <c r="S5" s="128"/>
      <c r="T5" s="128"/>
      <c r="U5" s="170">
        <f>Q5+R5</f>
        <v>0</v>
      </c>
      <c r="V5" s="128">
        <f>V6+V7</f>
        <v>2364.6</v>
      </c>
      <c r="W5" s="128">
        <f>W6+W7</f>
        <v>937</v>
      </c>
      <c r="X5" s="128"/>
      <c r="Y5" s="128"/>
      <c r="Z5" s="128">
        <f>Z6+Z7</f>
        <v>0</v>
      </c>
      <c r="AA5" s="128"/>
      <c r="AB5" s="170">
        <f>V5+W5</f>
        <v>3301.6</v>
      </c>
      <c r="AC5" s="128">
        <f>AC6+AC7</f>
        <v>2429</v>
      </c>
      <c r="AD5" s="128">
        <f>AD6+AD7</f>
        <v>2020</v>
      </c>
      <c r="AE5" s="128"/>
      <c r="AF5" s="128"/>
      <c r="AG5" s="128">
        <f>AG6+AG7</f>
        <v>0</v>
      </c>
      <c r="AH5" s="128"/>
      <c r="AI5" s="170">
        <f>AC5+AF5+AG5</f>
        <v>2429</v>
      </c>
      <c r="AJ5" s="128">
        <f>AJ6+AJ7</f>
        <v>2886.8</v>
      </c>
      <c r="AK5" s="128">
        <f>AK6+AK7</f>
        <v>235</v>
      </c>
      <c r="AL5" s="128"/>
      <c r="AM5" s="128">
        <f>AM6+AM7</f>
        <v>0</v>
      </c>
      <c r="AN5" s="128"/>
      <c r="AO5" s="128">
        <f>AJ5+AM5</f>
        <v>2886.8</v>
      </c>
      <c r="AP5" s="127">
        <f>AP6+AP7</f>
        <v>13336.400000000001</v>
      </c>
      <c r="AQ5" s="127">
        <f>AQ6+AQ7</f>
        <v>8582</v>
      </c>
      <c r="AR5" s="128"/>
      <c r="AS5" s="128"/>
      <c r="AT5" s="128">
        <f>AT6+AT7</f>
        <v>0</v>
      </c>
      <c r="AU5" s="128"/>
      <c r="AV5" s="170">
        <f>AP5+AR5+AT5</f>
        <v>13336.400000000001</v>
      </c>
      <c r="AW5" s="163">
        <f>AV5/AV17</f>
        <v>0.4414710847760602</v>
      </c>
    </row>
    <row r="6" spans="1:49" ht="16.5" customHeight="1">
      <c r="A6" s="150" t="s">
        <v>33</v>
      </c>
      <c r="B6" s="129">
        <v>2102</v>
      </c>
      <c r="C6" s="130">
        <v>2070</v>
      </c>
      <c r="D6" s="130"/>
      <c r="E6" s="130"/>
      <c r="F6" s="130"/>
      <c r="G6" s="130"/>
      <c r="H6" s="130"/>
      <c r="I6" s="128">
        <f>B6+C6+F6</f>
        <v>4172</v>
      </c>
      <c r="J6" s="129">
        <v>2242</v>
      </c>
      <c r="K6" s="130">
        <v>2070</v>
      </c>
      <c r="L6" s="130"/>
      <c r="M6" s="128"/>
      <c r="N6" s="128"/>
      <c r="O6" s="128"/>
      <c r="P6" s="170">
        <f>J6+K6+L6+M6+O6</f>
        <v>4312</v>
      </c>
      <c r="Q6" s="130">
        <v>0</v>
      </c>
      <c r="R6" s="128"/>
      <c r="S6" s="128"/>
      <c r="T6" s="128"/>
      <c r="U6" s="170">
        <f aca="true" t="shared" si="0" ref="U6:U16">Q6+R6</f>
        <v>0</v>
      </c>
      <c r="V6" s="130">
        <v>1816.1</v>
      </c>
      <c r="W6" s="130">
        <v>720</v>
      </c>
      <c r="X6" s="128"/>
      <c r="Y6" s="128"/>
      <c r="Z6" s="128"/>
      <c r="AA6" s="128"/>
      <c r="AB6" s="170">
        <f aca="true" t="shared" si="1" ref="AB6:AB16">V6+W6</f>
        <v>2536.1</v>
      </c>
      <c r="AC6" s="130">
        <v>1866</v>
      </c>
      <c r="AD6" s="130">
        <v>1550</v>
      </c>
      <c r="AE6" s="130"/>
      <c r="AF6" s="128"/>
      <c r="AG6" s="130">
        <v>0</v>
      </c>
      <c r="AH6" s="130"/>
      <c r="AI6" s="170">
        <f aca="true" t="shared" si="2" ref="AI6:AI16">AC6+AF6+AG6</f>
        <v>1866</v>
      </c>
      <c r="AJ6" s="130">
        <v>2216.8</v>
      </c>
      <c r="AK6" s="130">
        <v>180</v>
      </c>
      <c r="AL6" s="130"/>
      <c r="AM6" s="128"/>
      <c r="AN6" s="128"/>
      <c r="AO6" s="128">
        <f aca="true" t="shared" si="3" ref="AO6:AO16">AJ6+AM6</f>
        <v>2216.8</v>
      </c>
      <c r="AP6" s="129">
        <f aca="true" t="shared" si="4" ref="AP6:AP12">B6+J6+Q6+V6+AC6+AJ6</f>
        <v>10242.900000000001</v>
      </c>
      <c r="AQ6" s="129">
        <f>C6+K6+W6+AD6+AK6</f>
        <v>6590</v>
      </c>
      <c r="AR6" s="128"/>
      <c r="AS6" s="128"/>
      <c r="AT6" s="130">
        <f>F6+N6+Z6+AG6+AM6</f>
        <v>0</v>
      </c>
      <c r="AU6" s="130"/>
      <c r="AV6" s="170">
        <f aca="true" t="shared" si="5" ref="AV6:AV16">AP6+AR6+AT6</f>
        <v>10242.900000000001</v>
      </c>
      <c r="AW6" s="151"/>
    </row>
    <row r="7" spans="1:49" ht="16.5" customHeight="1">
      <c r="A7" s="150" t="s">
        <v>34</v>
      </c>
      <c r="B7" s="129">
        <v>635</v>
      </c>
      <c r="C7" s="130">
        <v>625</v>
      </c>
      <c r="D7" s="130"/>
      <c r="E7" s="130"/>
      <c r="F7" s="130"/>
      <c r="G7" s="130"/>
      <c r="H7" s="130"/>
      <c r="I7" s="128">
        <f>B7+C7+F7</f>
        <v>1260</v>
      </c>
      <c r="J7" s="129">
        <v>677</v>
      </c>
      <c r="K7" s="130">
        <v>625</v>
      </c>
      <c r="L7" s="130"/>
      <c r="M7" s="130"/>
      <c r="N7" s="130"/>
      <c r="O7" s="130"/>
      <c r="P7" s="170">
        <f>J7+K7+L7+M7+O7</f>
        <v>1302</v>
      </c>
      <c r="Q7" s="130">
        <v>0</v>
      </c>
      <c r="R7" s="130"/>
      <c r="S7" s="130"/>
      <c r="T7" s="130"/>
      <c r="U7" s="170">
        <f t="shared" si="0"/>
        <v>0</v>
      </c>
      <c r="V7" s="130">
        <v>548.5</v>
      </c>
      <c r="W7" s="130">
        <v>217</v>
      </c>
      <c r="X7" s="130"/>
      <c r="Y7" s="130"/>
      <c r="Z7" s="130"/>
      <c r="AA7" s="130"/>
      <c r="AB7" s="170">
        <f t="shared" si="1"/>
        <v>765.5</v>
      </c>
      <c r="AC7" s="130">
        <v>563</v>
      </c>
      <c r="AD7" s="130">
        <v>470</v>
      </c>
      <c r="AE7" s="130"/>
      <c r="AF7" s="130"/>
      <c r="AG7" s="130">
        <v>0</v>
      </c>
      <c r="AH7" s="130"/>
      <c r="AI7" s="170">
        <f t="shared" si="2"/>
        <v>563</v>
      </c>
      <c r="AJ7" s="130">
        <v>670</v>
      </c>
      <c r="AK7" s="130">
        <v>55</v>
      </c>
      <c r="AL7" s="130"/>
      <c r="AM7" s="130"/>
      <c r="AN7" s="130"/>
      <c r="AO7" s="128">
        <f t="shared" si="3"/>
        <v>670</v>
      </c>
      <c r="AP7" s="129">
        <f t="shared" si="4"/>
        <v>3093.5</v>
      </c>
      <c r="AQ7" s="129">
        <f>C7+K7+W7+AD7+AK7</f>
        <v>1992</v>
      </c>
      <c r="AR7" s="128"/>
      <c r="AS7" s="128"/>
      <c r="AT7" s="130">
        <f>F7+N7+Z7+AG7+AM7</f>
        <v>0</v>
      </c>
      <c r="AU7" s="130"/>
      <c r="AV7" s="170">
        <f t="shared" si="5"/>
        <v>3093.5</v>
      </c>
      <c r="AW7" s="151"/>
    </row>
    <row r="8" spans="1:49" s="141" customFormat="1" ht="16.5" customHeight="1">
      <c r="A8" s="152" t="s">
        <v>35</v>
      </c>
      <c r="B8" s="127">
        <v>20</v>
      </c>
      <c r="C8" s="127">
        <v>200</v>
      </c>
      <c r="D8" s="128"/>
      <c r="E8" s="128"/>
      <c r="F8" s="128"/>
      <c r="G8" s="128"/>
      <c r="H8" s="128"/>
      <c r="I8" s="128">
        <f>B8+C8+F8</f>
        <v>220</v>
      </c>
      <c r="J8" s="127">
        <v>200</v>
      </c>
      <c r="K8" s="127">
        <v>355</v>
      </c>
      <c r="L8" s="128"/>
      <c r="M8" s="128"/>
      <c r="N8" s="127">
        <f>N9+N10+N11</f>
        <v>0</v>
      </c>
      <c r="O8" s="128"/>
      <c r="P8" s="170">
        <f>J8+K8+L8+M8+O8</f>
        <v>555</v>
      </c>
      <c r="Q8" s="128">
        <v>0</v>
      </c>
      <c r="R8" s="128"/>
      <c r="S8" s="128"/>
      <c r="T8" s="128"/>
      <c r="U8" s="170">
        <f t="shared" si="0"/>
        <v>0</v>
      </c>
      <c r="V8" s="128">
        <v>68</v>
      </c>
      <c r="W8" s="128"/>
      <c r="X8" s="128"/>
      <c r="Y8" s="128"/>
      <c r="Z8" s="128">
        <f>Z9+Z10+Z11</f>
        <v>0</v>
      </c>
      <c r="AA8" s="128"/>
      <c r="AB8" s="170">
        <f t="shared" si="1"/>
        <v>68</v>
      </c>
      <c r="AC8" s="128">
        <v>186</v>
      </c>
      <c r="AD8" s="128">
        <v>250</v>
      </c>
      <c r="AE8" s="128"/>
      <c r="AF8" s="128"/>
      <c r="AG8" s="128">
        <v>0</v>
      </c>
      <c r="AH8" s="128"/>
      <c r="AI8" s="170">
        <f t="shared" si="2"/>
        <v>186</v>
      </c>
      <c r="AJ8" s="128">
        <v>300</v>
      </c>
      <c r="AK8" s="128">
        <f>AK9+AK10+AK11</f>
        <v>0</v>
      </c>
      <c r="AL8" s="128"/>
      <c r="AM8" s="128">
        <f>AM9+AM10+AM11</f>
        <v>0</v>
      </c>
      <c r="AN8" s="128"/>
      <c r="AO8" s="128">
        <f t="shared" si="3"/>
        <v>300</v>
      </c>
      <c r="AP8" s="127">
        <f t="shared" si="4"/>
        <v>774</v>
      </c>
      <c r="AQ8" s="127">
        <f>C8+K8+R8+X8+AD8+AK8</f>
        <v>805</v>
      </c>
      <c r="AR8" s="128"/>
      <c r="AS8" s="128"/>
      <c r="AT8" s="127">
        <f>AT9+AT10+AT11</f>
        <v>0</v>
      </c>
      <c r="AU8" s="128"/>
      <c r="AV8" s="170">
        <f t="shared" si="5"/>
        <v>774</v>
      </c>
      <c r="AW8" s="153">
        <f>(AV8+AV12)/AV17</f>
        <v>0.02562150352543944</v>
      </c>
    </row>
    <row r="9" spans="1:49" s="141" customFormat="1" ht="16.5" customHeight="1">
      <c r="A9" s="150" t="s">
        <v>36</v>
      </c>
      <c r="B9" s="129">
        <v>20</v>
      </c>
      <c r="C9" s="130">
        <v>200</v>
      </c>
      <c r="D9" s="130"/>
      <c r="E9" s="130"/>
      <c r="F9" s="130"/>
      <c r="G9" s="130"/>
      <c r="H9" s="130"/>
      <c r="I9" s="128">
        <f>B9+C9+F9</f>
        <v>220</v>
      </c>
      <c r="J9" s="129">
        <v>200</v>
      </c>
      <c r="K9" s="130">
        <v>355</v>
      </c>
      <c r="L9" s="130"/>
      <c r="M9" s="128"/>
      <c r="N9" s="128"/>
      <c r="O9" s="128"/>
      <c r="P9" s="170">
        <f>J9+K9+L9+M9+O9</f>
        <v>555</v>
      </c>
      <c r="Q9" s="130">
        <v>0</v>
      </c>
      <c r="R9" s="128"/>
      <c r="S9" s="128"/>
      <c r="T9" s="128"/>
      <c r="U9" s="170">
        <f t="shared" si="0"/>
        <v>0</v>
      </c>
      <c r="V9" s="130">
        <v>68</v>
      </c>
      <c r="W9" s="130"/>
      <c r="X9" s="128"/>
      <c r="Y9" s="128"/>
      <c r="Z9" s="128"/>
      <c r="AA9" s="128"/>
      <c r="AB9" s="170">
        <f t="shared" si="1"/>
        <v>68</v>
      </c>
      <c r="AC9" s="130">
        <v>186</v>
      </c>
      <c r="AD9" s="130">
        <v>250</v>
      </c>
      <c r="AE9" s="128"/>
      <c r="AF9" s="128"/>
      <c r="AG9" s="128">
        <v>0</v>
      </c>
      <c r="AH9" s="128"/>
      <c r="AI9" s="170">
        <f t="shared" si="2"/>
        <v>186</v>
      </c>
      <c r="AJ9" s="130">
        <v>300</v>
      </c>
      <c r="AK9" s="130"/>
      <c r="AL9" s="130"/>
      <c r="AM9" s="128"/>
      <c r="AN9" s="128"/>
      <c r="AO9" s="128">
        <f t="shared" si="3"/>
        <v>300</v>
      </c>
      <c r="AP9" s="129">
        <f t="shared" si="4"/>
        <v>774</v>
      </c>
      <c r="AQ9" s="129">
        <f>C9+K9+R9+X9+AD9+AK9</f>
        <v>805</v>
      </c>
      <c r="AR9" s="128"/>
      <c r="AS9" s="128"/>
      <c r="AT9" s="130">
        <f>F9+N9+Z9+AG9+AM9</f>
        <v>0</v>
      </c>
      <c r="AU9" s="130"/>
      <c r="AV9" s="170">
        <f t="shared" si="5"/>
        <v>774</v>
      </c>
      <c r="AW9" s="154"/>
    </row>
    <row r="10" spans="1:49" s="141" customFormat="1" ht="16.5" customHeight="1">
      <c r="A10" s="150" t="s">
        <v>37</v>
      </c>
      <c r="B10" s="129">
        <v>0</v>
      </c>
      <c r="C10" s="130"/>
      <c r="D10" s="130"/>
      <c r="E10" s="130"/>
      <c r="F10" s="130"/>
      <c r="G10" s="130"/>
      <c r="H10" s="130"/>
      <c r="I10" s="130">
        <f aca="true" t="shared" si="6" ref="I10:I15">B10+E10</f>
        <v>0</v>
      </c>
      <c r="J10" s="129"/>
      <c r="K10" s="130"/>
      <c r="L10" s="130"/>
      <c r="M10" s="128"/>
      <c r="N10" s="128"/>
      <c r="O10" s="128"/>
      <c r="P10" s="170">
        <f aca="true" t="shared" si="7" ref="P10:P15">J10+M10</f>
        <v>0</v>
      </c>
      <c r="Q10" s="130">
        <v>0</v>
      </c>
      <c r="R10" s="128"/>
      <c r="S10" s="128"/>
      <c r="T10" s="128"/>
      <c r="U10" s="170">
        <f t="shared" si="0"/>
        <v>0</v>
      </c>
      <c r="V10" s="128"/>
      <c r="W10" s="128"/>
      <c r="X10" s="128"/>
      <c r="Y10" s="128"/>
      <c r="Z10" s="128"/>
      <c r="AA10" s="128"/>
      <c r="AB10" s="170">
        <f t="shared" si="1"/>
        <v>0</v>
      </c>
      <c r="AC10" s="128"/>
      <c r="AD10" s="128"/>
      <c r="AE10" s="128"/>
      <c r="AF10" s="128"/>
      <c r="AG10" s="128"/>
      <c r="AH10" s="128"/>
      <c r="AI10" s="170">
        <f t="shared" si="2"/>
        <v>0</v>
      </c>
      <c r="AJ10" s="128"/>
      <c r="AK10" s="128"/>
      <c r="AL10" s="128"/>
      <c r="AM10" s="128"/>
      <c r="AN10" s="128"/>
      <c r="AO10" s="128">
        <f t="shared" si="3"/>
        <v>0</v>
      </c>
      <c r="AP10" s="129">
        <f t="shared" si="4"/>
        <v>0</v>
      </c>
      <c r="AQ10" s="129">
        <f>C10+K10+R10+X10+AD10+AK10</f>
        <v>0</v>
      </c>
      <c r="AR10" s="128"/>
      <c r="AS10" s="128"/>
      <c r="AT10" s="130">
        <f>F10+N10+Z10+AG10+AM10</f>
        <v>0</v>
      </c>
      <c r="AU10" s="130"/>
      <c r="AV10" s="170">
        <f t="shared" si="5"/>
        <v>0</v>
      </c>
      <c r="AW10" s="154"/>
    </row>
    <row r="11" spans="1:49" s="141" customFormat="1" ht="16.5" customHeight="1">
      <c r="A11" s="150" t="s">
        <v>38</v>
      </c>
      <c r="B11" s="129">
        <v>0</v>
      </c>
      <c r="C11" s="130"/>
      <c r="D11" s="130"/>
      <c r="E11" s="130"/>
      <c r="F11" s="130"/>
      <c r="G11" s="130"/>
      <c r="H11" s="130"/>
      <c r="I11" s="128">
        <f>B11+C11+F11</f>
        <v>0</v>
      </c>
      <c r="J11" s="129"/>
      <c r="K11" s="130"/>
      <c r="L11" s="130"/>
      <c r="M11" s="128"/>
      <c r="N11" s="128"/>
      <c r="O11" s="128"/>
      <c r="P11" s="170">
        <f t="shared" si="7"/>
        <v>0</v>
      </c>
      <c r="Q11" s="130"/>
      <c r="R11" s="128"/>
      <c r="S11" s="128"/>
      <c r="T11" s="128"/>
      <c r="U11" s="170">
        <f t="shared" si="0"/>
        <v>0</v>
      </c>
      <c r="V11" s="128"/>
      <c r="W11" s="128"/>
      <c r="X11" s="128"/>
      <c r="Y11" s="128"/>
      <c r="Z11" s="128"/>
      <c r="AA11" s="128"/>
      <c r="AB11" s="170">
        <f t="shared" si="1"/>
        <v>0</v>
      </c>
      <c r="AC11" s="128"/>
      <c r="AD11" s="128"/>
      <c r="AE11" s="128"/>
      <c r="AF11" s="128"/>
      <c r="AG11" s="128"/>
      <c r="AH11" s="128"/>
      <c r="AI11" s="170">
        <f t="shared" si="2"/>
        <v>0</v>
      </c>
      <c r="AJ11" s="128"/>
      <c r="AK11" s="128"/>
      <c r="AL11" s="128"/>
      <c r="AM11" s="128"/>
      <c r="AN11" s="128"/>
      <c r="AO11" s="128">
        <f t="shared" si="3"/>
        <v>0</v>
      </c>
      <c r="AP11" s="129">
        <f t="shared" si="4"/>
        <v>0</v>
      </c>
      <c r="AQ11" s="129">
        <f>C11+K11+R11+X11+AD11+AK11</f>
        <v>0</v>
      </c>
      <c r="AR11" s="128"/>
      <c r="AS11" s="128"/>
      <c r="AT11" s="130">
        <f>F11+N11+Z11+AG11+AM11</f>
        <v>0</v>
      </c>
      <c r="AU11" s="130"/>
      <c r="AV11" s="170">
        <f t="shared" si="5"/>
        <v>0</v>
      </c>
      <c r="AW11" s="154"/>
    </row>
    <row r="12" spans="1:49" ht="16.5" customHeight="1">
      <c r="A12" s="155" t="s">
        <v>39</v>
      </c>
      <c r="B12" s="129"/>
      <c r="C12" s="130"/>
      <c r="D12" s="130"/>
      <c r="E12" s="130"/>
      <c r="F12" s="130"/>
      <c r="G12" s="130"/>
      <c r="H12" s="130"/>
      <c r="I12" s="130">
        <f t="shared" si="6"/>
        <v>0</v>
      </c>
      <c r="J12" s="129"/>
      <c r="K12" s="130"/>
      <c r="L12" s="130"/>
      <c r="M12" s="128"/>
      <c r="N12" s="128"/>
      <c r="O12" s="128"/>
      <c r="P12" s="170">
        <f t="shared" si="7"/>
        <v>0</v>
      </c>
      <c r="Q12" s="130"/>
      <c r="R12" s="128"/>
      <c r="S12" s="128"/>
      <c r="T12" s="128"/>
      <c r="U12" s="170">
        <f t="shared" si="0"/>
        <v>0</v>
      </c>
      <c r="V12" s="128"/>
      <c r="W12" s="128"/>
      <c r="X12" s="128"/>
      <c r="Y12" s="128"/>
      <c r="Z12" s="128"/>
      <c r="AA12" s="128"/>
      <c r="AB12" s="170">
        <f t="shared" si="1"/>
        <v>0</v>
      </c>
      <c r="AC12" s="128"/>
      <c r="AD12" s="128"/>
      <c r="AE12" s="128"/>
      <c r="AF12" s="128"/>
      <c r="AG12" s="128"/>
      <c r="AH12" s="128"/>
      <c r="AI12" s="170">
        <f t="shared" si="2"/>
        <v>0</v>
      </c>
      <c r="AJ12" s="128"/>
      <c r="AK12" s="128"/>
      <c r="AL12" s="128"/>
      <c r="AM12" s="128"/>
      <c r="AN12" s="128"/>
      <c r="AO12" s="128">
        <f t="shared" si="3"/>
        <v>0</v>
      </c>
      <c r="AP12" s="127">
        <f t="shared" si="4"/>
        <v>0</v>
      </c>
      <c r="AQ12" s="128"/>
      <c r="AR12" s="128"/>
      <c r="AS12" s="128"/>
      <c r="AT12" s="130"/>
      <c r="AU12" s="130"/>
      <c r="AV12" s="170">
        <f t="shared" si="5"/>
        <v>0</v>
      </c>
      <c r="AW12" s="151"/>
    </row>
    <row r="13" spans="1:49" s="141" customFormat="1" ht="16.5" customHeight="1">
      <c r="A13" s="152" t="s">
        <v>40</v>
      </c>
      <c r="B13" s="127"/>
      <c r="C13" s="128"/>
      <c r="D13" s="128"/>
      <c r="E13" s="128"/>
      <c r="F13" s="128"/>
      <c r="G13" s="128"/>
      <c r="H13" s="128"/>
      <c r="I13" s="130">
        <f t="shared" si="6"/>
        <v>0</v>
      </c>
      <c r="J13" s="127"/>
      <c r="K13" s="128"/>
      <c r="L13" s="128"/>
      <c r="M13" s="128"/>
      <c r="N13" s="128"/>
      <c r="O13" s="128"/>
      <c r="P13" s="170">
        <f t="shared" si="7"/>
        <v>0</v>
      </c>
      <c r="Q13" s="128"/>
      <c r="R13" s="128"/>
      <c r="S13" s="128"/>
      <c r="T13" s="128"/>
      <c r="U13" s="170">
        <f t="shared" si="0"/>
        <v>0</v>
      </c>
      <c r="V13" s="128"/>
      <c r="W13" s="128"/>
      <c r="X13" s="128"/>
      <c r="Y13" s="128"/>
      <c r="Z13" s="128"/>
      <c r="AA13" s="128"/>
      <c r="AB13" s="170">
        <f t="shared" si="1"/>
        <v>0</v>
      </c>
      <c r="AC13" s="128"/>
      <c r="AD13" s="128"/>
      <c r="AE13" s="128"/>
      <c r="AF13" s="128"/>
      <c r="AG13" s="128"/>
      <c r="AH13" s="128"/>
      <c r="AI13" s="170">
        <f t="shared" si="2"/>
        <v>0</v>
      </c>
      <c r="AJ13" s="128"/>
      <c r="AK13" s="128"/>
      <c r="AL13" s="128"/>
      <c r="AM13" s="128"/>
      <c r="AN13" s="128"/>
      <c r="AO13" s="128">
        <f t="shared" si="3"/>
        <v>0</v>
      </c>
      <c r="AP13" s="127"/>
      <c r="AQ13" s="128"/>
      <c r="AR13" s="128"/>
      <c r="AS13" s="128"/>
      <c r="AT13" s="130"/>
      <c r="AU13" s="130"/>
      <c r="AV13" s="170">
        <f t="shared" si="5"/>
        <v>0</v>
      </c>
      <c r="AW13" s="154"/>
    </row>
    <row r="14" spans="1:49" ht="16.5" customHeight="1">
      <c r="A14" s="156" t="s">
        <v>41</v>
      </c>
      <c r="B14" s="129"/>
      <c r="C14" s="130"/>
      <c r="D14" s="130"/>
      <c r="E14" s="130"/>
      <c r="F14" s="130"/>
      <c r="G14" s="130"/>
      <c r="H14" s="130"/>
      <c r="I14" s="130">
        <f t="shared" si="6"/>
        <v>0</v>
      </c>
      <c r="J14" s="129"/>
      <c r="K14" s="130"/>
      <c r="L14" s="130"/>
      <c r="M14" s="128"/>
      <c r="N14" s="128"/>
      <c r="O14" s="128"/>
      <c r="P14" s="170">
        <f t="shared" si="7"/>
        <v>0</v>
      </c>
      <c r="Q14" s="130"/>
      <c r="R14" s="128"/>
      <c r="S14" s="128"/>
      <c r="T14" s="128"/>
      <c r="U14" s="170">
        <f t="shared" si="0"/>
        <v>0</v>
      </c>
      <c r="V14" s="128"/>
      <c r="W14" s="128"/>
      <c r="X14" s="128"/>
      <c r="Y14" s="128"/>
      <c r="Z14" s="128"/>
      <c r="AA14" s="128"/>
      <c r="AB14" s="170">
        <f t="shared" si="1"/>
        <v>0</v>
      </c>
      <c r="AC14" s="128"/>
      <c r="AD14" s="128"/>
      <c r="AE14" s="128"/>
      <c r="AF14" s="128"/>
      <c r="AG14" s="128"/>
      <c r="AH14" s="128"/>
      <c r="AI14" s="170">
        <f t="shared" si="2"/>
        <v>0</v>
      </c>
      <c r="AJ14" s="128"/>
      <c r="AK14" s="128"/>
      <c r="AL14" s="128"/>
      <c r="AM14" s="128"/>
      <c r="AN14" s="128"/>
      <c r="AO14" s="128">
        <f t="shared" si="3"/>
        <v>0</v>
      </c>
      <c r="AP14" s="127"/>
      <c r="AQ14" s="128"/>
      <c r="AR14" s="128"/>
      <c r="AS14" s="128"/>
      <c r="AT14" s="130"/>
      <c r="AU14" s="130"/>
      <c r="AV14" s="170">
        <f t="shared" si="5"/>
        <v>0</v>
      </c>
      <c r="AW14" s="151"/>
    </row>
    <row r="15" spans="1:49" s="141" customFormat="1" ht="16.5" customHeight="1">
      <c r="A15" s="156" t="s">
        <v>42</v>
      </c>
      <c r="B15" s="127"/>
      <c r="C15" s="128"/>
      <c r="D15" s="128"/>
      <c r="E15" s="128"/>
      <c r="F15" s="128"/>
      <c r="G15" s="128"/>
      <c r="H15" s="128"/>
      <c r="I15" s="130">
        <f t="shared" si="6"/>
        <v>0</v>
      </c>
      <c r="J15" s="127"/>
      <c r="K15" s="128"/>
      <c r="L15" s="128"/>
      <c r="M15" s="128"/>
      <c r="N15" s="128"/>
      <c r="O15" s="128"/>
      <c r="P15" s="170">
        <f t="shared" si="7"/>
        <v>0</v>
      </c>
      <c r="Q15" s="128"/>
      <c r="R15" s="128"/>
      <c r="S15" s="128"/>
      <c r="T15" s="128"/>
      <c r="U15" s="170">
        <f t="shared" si="0"/>
        <v>0</v>
      </c>
      <c r="V15" s="128"/>
      <c r="W15" s="128"/>
      <c r="X15" s="128"/>
      <c r="Y15" s="128"/>
      <c r="Z15" s="128"/>
      <c r="AA15" s="128"/>
      <c r="AB15" s="170">
        <f t="shared" si="1"/>
        <v>0</v>
      </c>
      <c r="AC15" s="128"/>
      <c r="AD15" s="128"/>
      <c r="AE15" s="128"/>
      <c r="AF15" s="128"/>
      <c r="AG15" s="128"/>
      <c r="AH15" s="128"/>
      <c r="AI15" s="170">
        <f t="shared" si="2"/>
        <v>0</v>
      </c>
      <c r="AJ15" s="128"/>
      <c r="AK15" s="128"/>
      <c r="AL15" s="128"/>
      <c r="AM15" s="128"/>
      <c r="AN15" s="128"/>
      <c r="AO15" s="128">
        <f t="shared" si="3"/>
        <v>0</v>
      </c>
      <c r="AP15" s="127"/>
      <c r="AQ15" s="128"/>
      <c r="AR15" s="128"/>
      <c r="AS15" s="128"/>
      <c r="AT15" s="130"/>
      <c r="AU15" s="130"/>
      <c r="AV15" s="170">
        <f t="shared" si="5"/>
        <v>0</v>
      </c>
      <c r="AW15" s="154"/>
    </row>
    <row r="16" spans="1:49" ht="16.5" customHeight="1" thickBot="1">
      <c r="A16" s="157" t="s">
        <v>43</v>
      </c>
      <c r="B16" s="129">
        <v>100</v>
      </c>
      <c r="C16" s="130">
        <v>80</v>
      </c>
      <c r="D16" s="130"/>
      <c r="E16" s="130"/>
      <c r="F16" s="130"/>
      <c r="G16" s="130"/>
      <c r="H16" s="130">
        <v>32.3</v>
      </c>
      <c r="I16" s="128">
        <f>B16+C16+F16</f>
        <v>180</v>
      </c>
      <c r="J16" s="129">
        <v>100</v>
      </c>
      <c r="K16" s="130">
        <v>75</v>
      </c>
      <c r="L16" s="130"/>
      <c r="M16" s="128"/>
      <c r="N16" s="128"/>
      <c r="O16" s="128"/>
      <c r="P16" s="170">
        <f>J16+K16+L16+M16+O16</f>
        <v>175</v>
      </c>
      <c r="Q16" s="128">
        <v>0</v>
      </c>
      <c r="R16" s="128"/>
      <c r="S16" s="128"/>
      <c r="T16" s="128"/>
      <c r="U16" s="170">
        <f t="shared" si="0"/>
        <v>0</v>
      </c>
      <c r="V16" s="128">
        <v>11.1</v>
      </c>
      <c r="W16" s="128">
        <v>50</v>
      </c>
      <c r="X16" s="128"/>
      <c r="Y16" s="128"/>
      <c r="Z16" s="128"/>
      <c r="AA16" s="128"/>
      <c r="AB16" s="170">
        <f t="shared" si="1"/>
        <v>61.1</v>
      </c>
      <c r="AC16" s="128">
        <v>50</v>
      </c>
      <c r="AD16" s="128">
        <v>100</v>
      </c>
      <c r="AE16" s="128"/>
      <c r="AF16" s="128"/>
      <c r="AG16" s="128">
        <v>686.6</v>
      </c>
      <c r="AH16" s="128"/>
      <c r="AI16" s="171">
        <f t="shared" si="2"/>
        <v>736.6</v>
      </c>
      <c r="AJ16" s="128">
        <v>100</v>
      </c>
      <c r="AK16" s="128">
        <v>5</v>
      </c>
      <c r="AL16" s="128"/>
      <c r="AM16" s="128"/>
      <c r="AN16" s="128"/>
      <c r="AO16" s="128">
        <f t="shared" si="3"/>
        <v>100</v>
      </c>
      <c r="AP16" s="127">
        <f>B16+J16+Q16+V16+AC16+AJ16</f>
        <v>361.1</v>
      </c>
      <c r="AQ16" s="127">
        <f>C16+K16+R16+X16+AD16+AK16+W16</f>
        <v>310</v>
      </c>
      <c r="AR16" s="128"/>
      <c r="AS16" s="128"/>
      <c r="AT16" s="172">
        <f>F16+N16+Z16+AG16+AM16</f>
        <v>686.6</v>
      </c>
      <c r="AU16" s="130"/>
      <c r="AV16" s="170">
        <f t="shared" si="5"/>
        <v>1047.7</v>
      </c>
      <c r="AW16" s="151"/>
    </row>
    <row r="17" spans="1:48" s="141" customFormat="1" ht="16.5" thickBot="1">
      <c r="A17" s="158" t="s">
        <v>27</v>
      </c>
      <c r="B17" s="159">
        <f>B5+B8+B12+B13+B16</f>
        <v>2857</v>
      </c>
      <c r="C17" s="159">
        <f>C5+C8+C12+C13+C16</f>
        <v>2975</v>
      </c>
      <c r="D17" s="159">
        <v>100</v>
      </c>
      <c r="E17" s="159">
        <v>601</v>
      </c>
      <c r="F17" s="159">
        <f>F5+F8+F12+F13+F16</f>
        <v>0</v>
      </c>
      <c r="G17" s="160"/>
      <c r="H17" s="160">
        <v>32.3</v>
      </c>
      <c r="I17" s="160">
        <f>B17+C17+D17+E17+F17+G17+H17</f>
        <v>6565.3</v>
      </c>
      <c r="J17" s="159">
        <f>J5+J8+J12+J13+J16</f>
        <v>3219</v>
      </c>
      <c r="K17" s="159">
        <f>K5+K8+K12+K13+K16</f>
        <v>3125</v>
      </c>
      <c r="L17" s="159">
        <v>508.8</v>
      </c>
      <c r="M17" s="159">
        <v>383</v>
      </c>
      <c r="N17" s="159">
        <f>N5+N8+N12+N13+N16</f>
        <v>0</v>
      </c>
      <c r="O17" s="160"/>
      <c r="P17" s="173">
        <f>J17+K17+L17+M17+N17+O17</f>
        <v>7235.8</v>
      </c>
      <c r="Q17" s="160">
        <f>Q5+Q8+Q12+Q13+Q16</f>
        <v>0</v>
      </c>
      <c r="R17" s="160">
        <v>0</v>
      </c>
      <c r="S17" s="160">
        <v>0</v>
      </c>
      <c r="T17" s="160">
        <v>0</v>
      </c>
      <c r="U17" s="173">
        <f>Q17+R17+S17+T17</f>
        <v>0</v>
      </c>
      <c r="V17" s="160">
        <f>V5+V8+V12+V13+V16</f>
        <v>2443.7</v>
      </c>
      <c r="W17" s="160">
        <f>W5+W8+W12+W13+W16</f>
        <v>987</v>
      </c>
      <c r="X17" s="160">
        <v>1363</v>
      </c>
      <c r="Y17" s="160">
        <v>626.5</v>
      </c>
      <c r="Z17" s="160">
        <f>Z5+Z8+Z12+Z13+Z16</f>
        <v>0</v>
      </c>
      <c r="AA17" s="160"/>
      <c r="AB17" s="173">
        <f>V17+W17+X17+Y17</f>
        <v>5420.2</v>
      </c>
      <c r="AC17" s="160">
        <f>AC5+AC8+AC12+AC13+AC16</f>
        <v>2665</v>
      </c>
      <c r="AD17" s="160">
        <f>AD5+AD8+AD12+AD13+AD16</f>
        <v>2370</v>
      </c>
      <c r="AE17" s="160">
        <v>453.4</v>
      </c>
      <c r="AF17" s="160">
        <v>323.7</v>
      </c>
      <c r="AG17" s="160">
        <v>686.6</v>
      </c>
      <c r="AH17" s="161"/>
      <c r="AI17" s="171">
        <f>AC17+AD17+AE17+AF17+AG17+AH17</f>
        <v>6498.7</v>
      </c>
      <c r="AJ17" s="160">
        <f>AJ5+AJ8+AJ12+AJ13+AJ16</f>
        <v>3286.8</v>
      </c>
      <c r="AK17" s="160">
        <f>AK5+AK8+AK12+AK13+AK16</f>
        <v>240</v>
      </c>
      <c r="AL17" s="160">
        <v>230.6</v>
      </c>
      <c r="AM17" s="160">
        <v>731.6</v>
      </c>
      <c r="AN17" s="160"/>
      <c r="AO17" s="160">
        <f>AJ17+AK17+AL17+AM17+AN17</f>
        <v>4489</v>
      </c>
      <c r="AP17" s="160">
        <f>AP5+AP8+AP12+AP16</f>
        <v>14471.500000000002</v>
      </c>
      <c r="AQ17" s="160">
        <f>AQ5+AQ8+AQ12+AQ16</f>
        <v>9697</v>
      </c>
      <c r="AR17" s="160">
        <f>D17+L17+R17+X17+AE17+AM17</f>
        <v>3156.7999999999997</v>
      </c>
      <c r="AS17" s="161">
        <f>E17+M17+S17+Y17+AF17+AL17</f>
        <v>2164.8</v>
      </c>
      <c r="AT17" s="160">
        <f>H17+AG17</f>
        <v>718.9</v>
      </c>
      <c r="AU17" s="161">
        <f>G17+O17+T17+AA17+AH17+AN17</f>
        <v>0</v>
      </c>
      <c r="AV17" s="173">
        <f>AP17+AQ17+AR17+AS17+AT17+AU17</f>
        <v>30209</v>
      </c>
    </row>
    <row r="18" spans="1:47" s="141" customFormat="1" ht="15.75">
      <c r="A18" s="162"/>
      <c r="B18" s="128"/>
      <c r="C18" s="128"/>
      <c r="D18" s="128"/>
      <c r="E18" s="128"/>
      <c r="F18" s="128"/>
      <c r="G18" s="128"/>
      <c r="H18" s="128"/>
      <c r="I18" s="163">
        <f>I5/I17</f>
        <v>0.8273803177311013</v>
      </c>
      <c r="J18" s="128"/>
      <c r="K18" s="128"/>
      <c r="L18" s="128"/>
      <c r="M18" s="128"/>
      <c r="N18" s="128"/>
      <c r="O18" s="128"/>
      <c r="P18" s="163">
        <f>P5/P17</f>
        <v>0.7758644517537798</v>
      </c>
      <c r="Q18" s="128"/>
      <c r="R18" s="128"/>
      <c r="S18" s="128"/>
      <c r="T18" s="128"/>
      <c r="U18" s="163" t="e">
        <f>U5/U17</f>
        <v>#DIV/0!</v>
      </c>
      <c r="V18" s="128"/>
      <c r="W18" s="128"/>
      <c r="X18" s="128"/>
      <c r="Y18" s="128"/>
      <c r="Z18" s="128"/>
      <c r="AA18" s="128"/>
      <c r="AB18" s="163">
        <f>AB5/AB17</f>
        <v>0.6091288144348918</v>
      </c>
      <c r="AC18" s="128"/>
      <c r="AD18" s="128"/>
      <c r="AE18" s="128"/>
      <c r="AF18" s="128"/>
      <c r="AG18" s="128"/>
      <c r="AH18" s="128"/>
      <c r="AI18" s="163">
        <f>AI5/AI17</f>
        <v>0.3737670611045286</v>
      </c>
      <c r="AJ18" s="128"/>
      <c r="AK18" s="128"/>
      <c r="AL18" s="128"/>
      <c r="AM18" s="128"/>
      <c r="AN18" s="128"/>
      <c r="AO18" s="163">
        <f>AO5/AO17</f>
        <v>0.6430830920026732</v>
      </c>
      <c r="AP18" s="163"/>
      <c r="AQ18" s="128"/>
      <c r="AR18" s="163">
        <v>0.427</v>
      </c>
      <c r="AS18" s="163"/>
      <c r="AT18" s="163"/>
      <c r="AU18" s="163"/>
    </row>
    <row r="19" spans="1:48" ht="15.75">
      <c r="A19" s="167" t="s">
        <v>44</v>
      </c>
      <c r="B19" s="174"/>
      <c r="C19" s="174"/>
      <c r="D19" s="174"/>
      <c r="E19" s="174"/>
      <c r="F19" s="174"/>
      <c r="G19" s="174"/>
      <c r="H19" s="174"/>
      <c r="I19" s="167"/>
      <c r="J19" s="167"/>
      <c r="K19" s="167"/>
      <c r="L19" s="167"/>
      <c r="M19" s="167"/>
      <c r="N19" s="167"/>
      <c r="O19" s="167"/>
      <c r="P19" s="175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30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V19" s="151" t="e">
        <f>#REF!</f>
        <v>#REF!</v>
      </c>
    </row>
    <row r="20" spans="1:48" ht="15.75">
      <c r="A20" s="167" t="s">
        <v>45</v>
      </c>
      <c r="B20" s="174"/>
      <c r="C20" s="174"/>
      <c r="D20" s="174"/>
      <c r="E20" s="174"/>
      <c r="F20" s="174"/>
      <c r="G20" s="174"/>
      <c r="H20" s="174"/>
      <c r="I20" s="167"/>
      <c r="J20" s="167"/>
      <c r="K20" s="167"/>
      <c r="L20" s="167"/>
      <c r="M20" s="167"/>
      <c r="N20" s="167"/>
      <c r="O20" s="167"/>
      <c r="P20" s="175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30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V20" s="134">
        <v>40.2</v>
      </c>
    </row>
    <row r="21" spans="1:48" ht="15.75">
      <c r="A21" s="176" t="s">
        <v>57</v>
      </c>
      <c r="B21" s="174"/>
      <c r="C21" s="174"/>
      <c r="D21" s="174"/>
      <c r="E21" s="174"/>
      <c r="F21" s="174"/>
      <c r="G21" s="174"/>
      <c r="H21" s="174"/>
      <c r="I21" s="167"/>
      <c r="J21" s="167"/>
      <c r="K21" s="167"/>
      <c r="L21" s="167"/>
      <c r="M21" s="167"/>
      <c r="N21" s="167"/>
      <c r="O21" s="167"/>
      <c r="P21" s="175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V21" s="154" t="e">
        <f>AV17-AV19</f>
        <v>#REF!</v>
      </c>
    </row>
    <row r="22" spans="1:48" ht="18.7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5"/>
      <c r="AQ22" s="165"/>
      <c r="AR22" s="165"/>
      <c r="AS22" s="165"/>
      <c r="AT22" s="165"/>
      <c r="AU22" s="165"/>
      <c r="AV22" s="166"/>
    </row>
    <row r="23" spans="1:48" ht="18.7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5"/>
      <c r="AQ23" s="165"/>
      <c r="AR23" s="165"/>
      <c r="AS23" s="165"/>
      <c r="AT23" s="165"/>
      <c r="AU23" s="165"/>
      <c r="AV23" s="165"/>
    </row>
    <row r="24" spans="1:41" ht="15.7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</row>
    <row r="25" spans="1:41" ht="15.7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</row>
    <row r="26" spans="1:41" ht="15.7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</row>
    <row r="27" spans="1:41" ht="15.7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</row>
    <row r="28" spans="1:41" ht="15.7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</row>
    <row r="29" spans="1:41" ht="15.7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</row>
    <row r="30" spans="1:41" ht="15.7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</row>
    <row r="31" spans="1:41" ht="15.7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</row>
    <row r="32" spans="1:41" ht="15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</row>
    <row r="33" spans="1:41" ht="15.7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</row>
    <row r="34" spans="1:41" ht="15.7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</row>
    <row r="35" spans="1:41" ht="15.7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</row>
    <row r="36" spans="1:41" ht="15.7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</row>
    <row r="37" spans="1:41" ht="15.7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</row>
    <row r="38" spans="1:41" ht="15.7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</row>
    <row r="39" spans="1:41" ht="15.7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</row>
    <row r="40" spans="1:41" ht="15.7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</row>
    <row r="41" spans="1:41" ht="15.7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</row>
    <row r="42" spans="1:41" ht="15.7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</row>
    <row r="43" spans="1:41" ht="15.7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</row>
    <row r="44" spans="1:41" ht="15.7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</row>
    <row r="45" spans="1:41" ht="15.7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</row>
    <row r="46" spans="1:41" ht="15.7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</row>
    <row r="47" spans="1:41" ht="15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</row>
    <row r="48" ht="15.75">
      <c r="A48" s="167"/>
    </row>
    <row r="49" ht="15.75">
      <c r="A49" s="167"/>
    </row>
    <row r="50" ht="15.75">
      <c r="A50" s="167"/>
    </row>
    <row r="51" ht="15.75">
      <c r="A51" s="167"/>
    </row>
    <row r="52" ht="15.75">
      <c r="A52" s="167"/>
    </row>
    <row r="53" ht="15.75">
      <c r="A53" s="167"/>
    </row>
    <row r="54" ht="15.75">
      <c r="A54" s="167"/>
    </row>
    <row r="55" ht="15.75">
      <c r="A55" s="167"/>
    </row>
    <row r="56" ht="15.75">
      <c r="A56" s="167"/>
    </row>
    <row r="57" ht="15.75">
      <c r="A57" s="167"/>
    </row>
    <row r="58" ht="15.75">
      <c r="A58" s="167"/>
    </row>
    <row r="59" ht="15.75">
      <c r="A59" s="167"/>
    </row>
    <row r="60" ht="15.75">
      <c r="A60" s="167"/>
    </row>
    <row r="61" ht="15.75">
      <c r="A61" s="167"/>
    </row>
    <row r="62" ht="15.75">
      <c r="A62" s="167"/>
    </row>
    <row r="63" ht="15.75">
      <c r="A63" s="167"/>
    </row>
    <row r="64" ht="15.75">
      <c r="A64" s="167"/>
    </row>
    <row r="65" ht="15.75">
      <c r="A65" s="167"/>
    </row>
    <row r="66" ht="15.75">
      <c r="A66" s="167"/>
    </row>
    <row r="67" ht="15.75">
      <c r="A67" s="167"/>
    </row>
    <row r="68" ht="15.75">
      <c r="A68" s="167"/>
    </row>
    <row r="69" ht="15.75">
      <c r="A69" s="167"/>
    </row>
    <row r="70" ht="15.75">
      <c r="A70" s="167"/>
    </row>
    <row r="71" ht="15.75">
      <c r="A71" s="167"/>
    </row>
    <row r="72" ht="15.75">
      <c r="A72" s="167"/>
    </row>
    <row r="73" ht="15.75">
      <c r="A73" s="167"/>
    </row>
    <row r="74" ht="15.75">
      <c r="A74" s="167"/>
    </row>
    <row r="75" ht="15.75">
      <c r="A75" s="167"/>
    </row>
    <row r="76" ht="15.75">
      <c r="A76" s="167"/>
    </row>
    <row r="77" ht="15.75">
      <c r="A77" s="167"/>
    </row>
    <row r="78" ht="15.75">
      <c r="A78" s="167"/>
    </row>
    <row r="79" ht="15.75">
      <c r="A79" s="167"/>
    </row>
    <row r="80" ht="15.75">
      <c r="A80" s="167"/>
    </row>
    <row r="81" ht="15.75">
      <c r="A81" s="167"/>
    </row>
    <row r="82" ht="15.75">
      <c r="A82" s="167"/>
    </row>
    <row r="83" ht="15.75">
      <c r="A83" s="167"/>
    </row>
    <row r="84" ht="15.75">
      <c r="A84" s="167"/>
    </row>
    <row r="85" ht="15.75">
      <c r="A85" s="167"/>
    </row>
    <row r="86" ht="15.75">
      <c r="A86" s="167"/>
    </row>
    <row r="87" ht="15.75">
      <c r="A87" s="167"/>
    </row>
    <row r="88" ht="15.75">
      <c r="A88" s="167"/>
    </row>
    <row r="89" ht="15.75">
      <c r="A89" s="167"/>
    </row>
    <row r="90" ht="15.75">
      <c r="A90" s="167"/>
    </row>
    <row r="91" ht="15.75">
      <c r="A91" s="167"/>
    </row>
    <row r="92" ht="15.75">
      <c r="A92" s="167"/>
    </row>
    <row r="93" ht="15.75">
      <c r="A93" s="167"/>
    </row>
    <row r="94" ht="15.75">
      <c r="A94" s="167"/>
    </row>
    <row r="95" ht="15.75">
      <c r="A95" s="167"/>
    </row>
    <row r="96" ht="15.75">
      <c r="A96" s="167"/>
    </row>
    <row r="97" ht="15.75">
      <c r="A97" s="167"/>
    </row>
    <row r="98" ht="15.75">
      <c r="A98" s="167"/>
    </row>
    <row r="99" ht="15.75">
      <c r="A99" s="167"/>
    </row>
    <row r="100" ht="15.75">
      <c r="A100" s="167"/>
    </row>
    <row r="101" ht="15.75">
      <c r="A101" s="167"/>
    </row>
    <row r="102" ht="15.75">
      <c r="A102" s="167"/>
    </row>
    <row r="103" ht="15.75">
      <c r="A103" s="167"/>
    </row>
    <row r="104" ht="15.75">
      <c r="A104" s="167"/>
    </row>
    <row r="105" ht="15.75">
      <c r="A105" s="167"/>
    </row>
    <row r="106" ht="15.75">
      <c r="A106" s="167"/>
    </row>
    <row r="107" ht="15.75">
      <c r="A107" s="167"/>
    </row>
    <row r="108" ht="15.75">
      <c r="A108" s="167"/>
    </row>
    <row r="109" ht="15.75">
      <c r="A109" s="167"/>
    </row>
    <row r="110" ht="15.75">
      <c r="A110" s="167"/>
    </row>
    <row r="111" ht="15.75">
      <c r="A111" s="167"/>
    </row>
    <row r="112" ht="15.75">
      <c r="A112" s="167"/>
    </row>
    <row r="113" ht="15.75">
      <c r="A113" s="167"/>
    </row>
    <row r="114" ht="15.75">
      <c r="A114" s="167"/>
    </row>
    <row r="115" ht="15.75">
      <c r="A115" s="167"/>
    </row>
    <row r="116" ht="15.75">
      <c r="A116" s="167"/>
    </row>
    <row r="117" ht="15.75">
      <c r="A117" s="167"/>
    </row>
    <row r="118" ht="15.75">
      <c r="A118" s="167"/>
    </row>
    <row r="119" ht="15.75">
      <c r="A119" s="167"/>
    </row>
    <row r="120" ht="15.75">
      <c r="A120" s="167"/>
    </row>
    <row r="121" ht="15.75">
      <c r="A121" s="167"/>
    </row>
    <row r="122" ht="15.75">
      <c r="A122" s="167"/>
    </row>
    <row r="123" ht="15.75">
      <c r="A123" s="167"/>
    </row>
    <row r="124" ht="15.75">
      <c r="A124" s="167"/>
    </row>
    <row r="125" ht="15.75">
      <c r="A125" s="167"/>
    </row>
    <row r="126" ht="15.75">
      <c r="A126" s="167"/>
    </row>
    <row r="127" ht="15.75">
      <c r="A127" s="167"/>
    </row>
    <row r="128" ht="15.75">
      <c r="A128" s="167"/>
    </row>
    <row r="129" ht="15.75">
      <c r="A129" s="167"/>
    </row>
    <row r="130" ht="15.75">
      <c r="A130" s="16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Zeros="0" tabSelected="1" zoomScale="59" zoomScaleNormal="59" zoomScalePageLayoutView="0" workbookViewId="0" topLeftCell="A1">
      <selection activeCell="P25" sqref="P25"/>
    </sheetView>
  </sheetViews>
  <sheetFormatPr defaultColWidth="9.00390625" defaultRowHeight="12.75"/>
  <cols>
    <col min="1" max="1" width="3.625" style="1" customWidth="1"/>
    <col min="2" max="2" width="20.375" style="1" customWidth="1"/>
    <col min="3" max="3" width="16.25390625" style="1" customWidth="1"/>
    <col min="4" max="4" width="9.875" style="1" customWidth="1"/>
    <col min="5" max="5" width="6.75390625" style="1" customWidth="1"/>
    <col min="6" max="6" width="13.625" style="1" customWidth="1"/>
    <col min="7" max="7" width="11.75390625" style="1" customWidth="1"/>
    <col min="8" max="8" width="11.625" style="1" customWidth="1"/>
    <col min="9" max="9" width="16.00390625" style="1" customWidth="1"/>
    <col min="10" max="10" width="16.25390625" style="1" customWidth="1"/>
    <col min="11" max="12" width="13.00390625" style="1" customWidth="1"/>
    <col min="13" max="13" width="13.75390625" style="19" customWidth="1"/>
    <col min="14" max="14" width="15.75390625" style="1" customWidth="1"/>
    <col min="15" max="15" width="11.75390625" style="1" customWidth="1"/>
    <col min="16" max="16" width="10.125" style="1" customWidth="1"/>
    <col min="17" max="18" width="10.75390625" style="1" customWidth="1"/>
    <col min="19" max="19" width="11.00390625" style="1" customWidth="1"/>
    <col min="20" max="20" width="11.125" style="1" hidden="1" customWidth="1"/>
    <col min="21" max="21" width="14.00390625" style="1" bestFit="1" customWidth="1"/>
    <col min="22" max="22" width="14.75390625" style="1" customWidth="1"/>
    <col min="23" max="23" width="0.12890625" style="1" hidden="1" customWidth="1"/>
    <col min="24" max="25" width="11.125" style="1" hidden="1" customWidth="1"/>
    <col min="26" max="26" width="9.125" style="1" customWidth="1"/>
    <col min="27" max="27" width="9.25390625" style="1" bestFit="1" customWidth="1"/>
    <col min="28" max="16384" width="9.125" style="1" customWidth="1"/>
  </cols>
  <sheetData>
    <row r="1" spans="1:15" s="22" customFormat="1" ht="75" customHeight="1" thickBot="1">
      <c r="A1" s="258" t="s">
        <v>111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27" ht="240.75" customHeight="1">
      <c r="A2" s="2" t="s">
        <v>1</v>
      </c>
      <c r="B2" s="3" t="s">
        <v>17</v>
      </c>
      <c r="C2" s="13" t="s">
        <v>112</v>
      </c>
      <c r="D2" s="4" t="s">
        <v>54</v>
      </c>
      <c r="E2" s="3" t="s">
        <v>2</v>
      </c>
      <c r="F2" s="3" t="s">
        <v>92</v>
      </c>
      <c r="G2" s="3" t="s">
        <v>113</v>
      </c>
      <c r="H2" s="3" t="s">
        <v>114</v>
      </c>
      <c r="I2" s="3" t="s">
        <v>115</v>
      </c>
      <c r="J2" s="3" t="s">
        <v>11</v>
      </c>
      <c r="K2" s="3" t="s">
        <v>18</v>
      </c>
      <c r="L2" s="3"/>
      <c r="M2" s="100" t="s">
        <v>116</v>
      </c>
      <c r="N2" s="20" t="s">
        <v>16</v>
      </c>
      <c r="O2" s="259" t="s">
        <v>117</v>
      </c>
      <c r="P2" s="260"/>
      <c r="Q2" s="260"/>
      <c r="R2" s="260"/>
      <c r="S2" s="260"/>
      <c r="T2" s="260"/>
      <c r="U2" s="261"/>
      <c r="V2" s="102" t="s">
        <v>61</v>
      </c>
      <c r="W2" s="9" t="s">
        <v>19</v>
      </c>
      <c r="Z2" s="6"/>
      <c r="AA2" s="6"/>
    </row>
    <row r="3" spans="1:27" ht="47.25">
      <c r="A3" s="5"/>
      <c r="B3" s="6"/>
      <c r="C3" s="7"/>
      <c r="D3" s="8"/>
      <c r="E3" s="9">
        <v>0</v>
      </c>
      <c r="F3" s="205">
        <v>1.221111</v>
      </c>
      <c r="G3" s="10"/>
      <c r="H3" s="10"/>
      <c r="I3" s="10"/>
      <c r="J3" s="201"/>
      <c r="K3" s="131">
        <f>J11</f>
        <v>3344.488774085879</v>
      </c>
      <c r="L3" s="131">
        <v>0</v>
      </c>
      <c r="M3" s="101"/>
      <c r="N3" s="21"/>
      <c r="O3" s="13" t="s">
        <v>15</v>
      </c>
      <c r="P3" s="13" t="s">
        <v>83</v>
      </c>
      <c r="Q3" s="13" t="s">
        <v>13</v>
      </c>
      <c r="R3" s="13" t="s">
        <v>84</v>
      </c>
      <c r="S3" s="13" t="s">
        <v>98</v>
      </c>
      <c r="T3" s="13" t="s">
        <v>90</v>
      </c>
      <c r="U3" s="13" t="s">
        <v>14</v>
      </c>
      <c r="V3" s="103"/>
      <c r="W3" s="13"/>
      <c r="Z3" s="185"/>
      <c r="AA3" s="186"/>
    </row>
    <row r="4" spans="1:27" ht="18.75">
      <c r="A4" s="5">
        <v>1</v>
      </c>
      <c r="B4" s="206" t="s">
        <v>62</v>
      </c>
      <c r="C4" s="207">
        <f>'1.Исходные данные для ИБР'!C6</f>
        <v>530</v>
      </c>
      <c r="D4" s="208">
        <f>'4. ИНП'!Q4</f>
        <v>0.78</v>
      </c>
      <c r="E4" s="208">
        <f>'3. ИБР'!Y5</f>
        <v>1.1885029578214183</v>
      </c>
      <c r="F4" s="208">
        <f aca="true" t="shared" si="0" ref="F4:F9">E4/D4</f>
        <v>1.52372174079669</v>
      </c>
      <c r="G4" s="209">
        <v>659.4</v>
      </c>
      <c r="H4" s="210">
        <v>4227.2</v>
      </c>
      <c r="I4" s="211">
        <f aca="true" t="shared" si="1" ref="I4:I9">G4+H4</f>
        <v>4886.599999999999</v>
      </c>
      <c r="J4" s="210">
        <f>(G10/C10)*(F3-F4)*E4*C4</f>
        <v>-288.81770453785566</v>
      </c>
      <c r="K4" s="212"/>
      <c r="L4" s="212"/>
      <c r="M4" s="213">
        <v>0</v>
      </c>
      <c r="N4" s="214">
        <f aca="true" t="shared" si="2" ref="N4:N9">I4+M4</f>
        <v>4886.599999999999</v>
      </c>
      <c r="O4" s="215">
        <v>2857</v>
      </c>
      <c r="P4" s="215">
        <f>'Расходы поселений'!C17</f>
        <v>2975</v>
      </c>
      <c r="Q4" s="215">
        <f>'Расходы поселений'!D17</f>
        <v>100</v>
      </c>
      <c r="R4" s="215">
        <v>601</v>
      </c>
      <c r="S4" s="215">
        <v>32.3</v>
      </c>
      <c r="T4" s="215">
        <v>0</v>
      </c>
      <c r="U4" s="211">
        <f aca="true" t="shared" si="3" ref="U4:U9">O4+P4+Q4+R4+S4+T4</f>
        <v>6565.3</v>
      </c>
      <c r="V4" s="107">
        <f>U4-N4</f>
        <v>1678.7000000000007</v>
      </c>
      <c r="W4" s="12">
        <f aca="true" t="shared" si="4" ref="W4:W10">U4-N4-V4</f>
        <v>0</v>
      </c>
      <c r="X4" s="109">
        <f aca="true" t="shared" si="5" ref="X4:X9">N4+V4</f>
        <v>6565.3</v>
      </c>
      <c r="Y4" s="109"/>
      <c r="Z4" s="6"/>
      <c r="AA4" s="98"/>
    </row>
    <row r="5" spans="1:27" ht="16.5" customHeight="1">
      <c r="A5" s="5">
        <v>2</v>
      </c>
      <c r="B5" s="206" t="s">
        <v>63</v>
      </c>
      <c r="C5" s="207">
        <f>'1.Исходные данные для ИБР'!C7</f>
        <v>1414</v>
      </c>
      <c r="D5" s="208">
        <f>'4. ИНП'!Q5</f>
        <v>0.98</v>
      </c>
      <c r="E5" s="208">
        <f>'3. ИБР'!Y6</f>
        <v>1.1017015954177987</v>
      </c>
      <c r="F5" s="208">
        <f t="shared" si="0"/>
        <v>1.1241853014467333</v>
      </c>
      <c r="G5" s="209">
        <v>2301.4</v>
      </c>
      <c r="H5" s="210">
        <v>5784.1</v>
      </c>
      <c r="I5" s="211">
        <f t="shared" si="1"/>
        <v>8085.5</v>
      </c>
      <c r="J5" s="210">
        <f>(G10/C10)*(F3-F5)*E5*C5</f>
        <v>228.77874026519527</v>
      </c>
      <c r="K5" s="216"/>
      <c r="L5" s="216"/>
      <c r="M5" s="213">
        <v>0</v>
      </c>
      <c r="N5" s="214">
        <f t="shared" si="2"/>
        <v>8085.5</v>
      </c>
      <c r="O5" s="215">
        <v>3219</v>
      </c>
      <c r="P5" s="215">
        <f>'Расходы поселений'!K17</f>
        <v>3125</v>
      </c>
      <c r="Q5" s="215">
        <f>'Расходы поселений'!L17</f>
        <v>508.8</v>
      </c>
      <c r="R5" s="215">
        <v>383</v>
      </c>
      <c r="S5" s="215">
        <f>'Расходы поселений'!N17</f>
        <v>0</v>
      </c>
      <c r="T5" s="215">
        <v>0</v>
      </c>
      <c r="U5" s="211">
        <f t="shared" si="3"/>
        <v>7235.8</v>
      </c>
      <c r="V5" s="190">
        <f>U5-N5</f>
        <v>-849.6999999999998</v>
      </c>
      <c r="W5" s="12">
        <f t="shared" si="4"/>
        <v>0</v>
      </c>
      <c r="X5" s="109">
        <f t="shared" si="5"/>
        <v>7235.8</v>
      </c>
      <c r="Y5" s="109"/>
      <c r="Z5" s="6"/>
      <c r="AA5" s="98"/>
    </row>
    <row r="6" spans="1:27" ht="18.75">
      <c r="A6" s="5">
        <v>3</v>
      </c>
      <c r="B6" s="206" t="s">
        <v>64</v>
      </c>
      <c r="C6" s="207">
        <f>'1.Исходные данные для ИБР'!C8</f>
        <v>0</v>
      </c>
      <c r="D6" s="208" t="e">
        <f>'4. ИНП'!Q6</f>
        <v>#DIV/0!</v>
      </c>
      <c r="E6" s="208" t="e">
        <f>'3. ИБР'!Y7</f>
        <v>#DIV/0!</v>
      </c>
      <c r="F6" s="208" t="e">
        <f t="shared" si="0"/>
        <v>#DIV/0!</v>
      </c>
      <c r="G6" s="209">
        <v>0</v>
      </c>
      <c r="H6" s="210">
        <v>0</v>
      </c>
      <c r="I6" s="211">
        <f t="shared" si="1"/>
        <v>0</v>
      </c>
      <c r="J6" s="210">
        <v>0</v>
      </c>
      <c r="K6" s="217"/>
      <c r="L6" s="217"/>
      <c r="M6" s="213">
        <f>(K3*J6/$J$10)</f>
        <v>0</v>
      </c>
      <c r="N6" s="214">
        <f t="shared" si="2"/>
        <v>0</v>
      </c>
      <c r="O6" s="215">
        <f>'Расходы поселений'!Q17</f>
        <v>0</v>
      </c>
      <c r="P6" s="215"/>
      <c r="Q6" s="215">
        <f>'Расходы поселений'!R17</f>
        <v>0</v>
      </c>
      <c r="R6" s="215">
        <f>'Расходы поселений'!S17</f>
        <v>0</v>
      </c>
      <c r="S6" s="215"/>
      <c r="T6" s="215">
        <v>0</v>
      </c>
      <c r="U6" s="211">
        <f t="shared" si="3"/>
        <v>0</v>
      </c>
      <c r="V6" s="107">
        <v>0</v>
      </c>
      <c r="W6" s="12">
        <f t="shared" si="4"/>
        <v>0</v>
      </c>
      <c r="X6" s="109">
        <f t="shared" si="5"/>
        <v>0</v>
      </c>
      <c r="Y6" s="109"/>
      <c r="Z6" s="6"/>
      <c r="AA6" s="98"/>
    </row>
    <row r="7" spans="1:27" ht="18.75">
      <c r="A7" s="5">
        <v>4</v>
      </c>
      <c r="B7" s="206" t="s">
        <v>65</v>
      </c>
      <c r="C7" s="207">
        <f>'1.Исходные данные для ИБР'!C9</f>
        <v>3596</v>
      </c>
      <c r="D7" s="208">
        <f>'4. ИНП'!Q7</f>
        <v>0.83</v>
      </c>
      <c r="E7" s="208">
        <f>'3. ИБР'!Y8</f>
        <v>0.7219083088839476</v>
      </c>
      <c r="F7" s="208">
        <f t="shared" si="0"/>
        <v>0.8697690468481297</v>
      </c>
      <c r="G7" s="209">
        <v>4482.4</v>
      </c>
      <c r="H7" s="210">
        <v>3737.8</v>
      </c>
      <c r="I7" s="211">
        <f t="shared" si="1"/>
        <v>8220.2</v>
      </c>
      <c r="J7" s="210">
        <f>(G10/C10)*(F3-F7)*E7*C7</f>
        <v>1381.9587229668298</v>
      </c>
      <c r="K7" s="218"/>
      <c r="L7" s="218"/>
      <c r="M7" s="213">
        <f>(K5*J7/J10)</f>
        <v>0</v>
      </c>
      <c r="N7" s="214">
        <f t="shared" si="2"/>
        <v>8220.2</v>
      </c>
      <c r="O7" s="215">
        <f>'Расходы поселений'!V17</f>
        <v>2443.7</v>
      </c>
      <c r="P7" s="215">
        <v>987</v>
      </c>
      <c r="Q7" s="215">
        <f>'Расходы поселений'!X17</f>
        <v>1363</v>
      </c>
      <c r="R7" s="215">
        <f>'Расходы поселений'!Y17</f>
        <v>626.5</v>
      </c>
      <c r="S7" s="215">
        <f>'Расходы поселений'!Z17</f>
        <v>0</v>
      </c>
      <c r="T7" s="215">
        <v>0</v>
      </c>
      <c r="U7" s="211">
        <f t="shared" si="3"/>
        <v>5420.2</v>
      </c>
      <c r="V7" s="190">
        <f>U7-N7</f>
        <v>-2800.000000000001</v>
      </c>
      <c r="W7" s="12">
        <f t="shared" si="4"/>
        <v>0</v>
      </c>
      <c r="X7" s="109">
        <f t="shared" si="5"/>
        <v>5420.2</v>
      </c>
      <c r="Y7" s="109"/>
      <c r="Z7" s="6"/>
      <c r="AA7" s="98"/>
    </row>
    <row r="8" spans="1:27" ht="18.75">
      <c r="A8" s="5">
        <v>5</v>
      </c>
      <c r="B8" s="206" t="s">
        <v>66</v>
      </c>
      <c r="C8" s="207">
        <f>'1.Исходные данные для ИБР'!C10</f>
        <v>938</v>
      </c>
      <c r="D8" s="208">
        <f>'4. ИНП'!Q8</f>
        <v>1.41</v>
      </c>
      <c r="E8" s="208">
        <f>'3. ИБР'!Y9</f>
        <v>1.0725109567766442</v>
      </c>
      <c r="F8" s="208">
        <f t="shared" si="0"/>
        <v>0.7606460686359179</v>
      </c>
      <c r="G8" s="209">
        <v>2001.7</v>
      </c>
      <c r="H8" s="210">
        <v>4497</v>
      </c>
      <c r="I8" s="211">
        <f t="shared" si="1"/>
        <v>6498.7</v>
      </c>
      <c r="J8" s="210">
        <f>(G10/C10)*(F3-F8)*E8*C8</f>
        <v>701.8825949731968</v>
      </c>
      <c r="K8" s="219"/>
      <c r="L8" s="219"/>
      <c r="M8" s="213">
        <f>(K6*J8/J10)</f>
        <v>0</v>
      </c>
      <c r="N8" s="214">
        <f t="shared" si="2"/>
        <v>6498.7</v>
      </c>
      <c r="O8" s="215">
        <f>'Расходы поселений'!AC17</f>
        <v>2665</v>
      </c>
      <c r="P8" s="215">
        <f>'Расходы поселений'!AD17</f>
        <v>2370</v>
      </c>
      <c r="Q8" s="215">
        <f>'Расходы поселений'!AE17</f>
        <v>453.4</v>
      </c>
      <c r="R8" s="215">
        <f>'Расходы поселений'!AF17</f>
        <v>323.7</v>
      </c>
      <c r="S8" s="215">
        <f>'Расходы поселений'!AG17</f>
        <v>686.6</v>
      </c>
      <c r="T8" s="215">
        <v>0</v>
      </c>
      <c r="U8" s="211">
        <f t="shared" si="3"/>
        <v>6498.7</v>
      </c>
      <c r="V8" s="107">
        <f>U8-N8</f>
        <v>0</v>
      </c>
      <c r="W8" s="12">
        <f t="shared" si="4"/>
        <v>0</v>
      </c>
      <c r="X8" s="109">
        <f t="shared" si="5"/>
        <v>6498.7</v>
      </c>
      <c r="Y8" s="109"/>
      <c r="Z8" s="6"/>
      <c r="AA8" s="98"/>
    </row>
    <row r="9" spans="1:27" ht="19.5" thickBot="1">
      <c r="A9" s="80">
        <v>6</v>
      </c>
      <c r="B9" s="220" t="s">
        <v>67</v>
      </c>
      <c r="C9" s="221">
        <f>'1.Исходные данные для ИБР'!C11</f>
        <v>2002</v>
      </c>
      <c r="D9" s="222">
        <f>'4. ИНП'!Q9</f>
        <v>1.19</v>
      </c>
      <c r="E9" s="222">
        <f>'3. ИБР'!Y10</f>
        <v>0.8254760898588553</v>
      </c>
      <c r="F9" s="208">
        <f t="shared" si="0"/>
        <v>0.693677386436013</v>
      </c>
      <c r="G9" s="223">
        <v>3403.8</v>
      </c>
      <c r="H9" s="210">
        <v>1285.2</v>
      </c>
      <c r="I9" s="224">
        <f t="shared" si="1"/>
        <v>4689</v>
      </c>
      <c r="J9" s="210">
        <f>(G10/C10)*(F3-F9)*E9*C9</f>
        <v>1320.6864204185129</v>
      </c>
      <c r="K9" s="225"/>
      <c r="L9" s="225"/>
      <c r="M9" s="213">
        <f>(K7*J9/J10)</f>
        <v>0</v>
      </c>
      <c r="N9" s="226">
        <f t="shared" si="2"/>
        <v>4689</v>
      </c>
      <c r="O9" s="227">
        <v>3286.8</v>
      </c>
      <c r="P9" s="227">
        <f>'Расходы поселений'!AK17</f>
        <v>240</v>
      </c>
      <c r="Q9" s="227">
        <v>731.6</v>
      </c>
      <c r="R9" s="227">
        <f>'Расходы поселений'!AL17</f>
        <v>230.6</v>
      </c>
      <c r="S9" s="227"/>
      <c r="T9" s="227">
        <v>0</v>
      </c>
      <c r="U9" s="224">
        <f t="shared" si="3"/>
        <v>4489.000000000001</v>
      </c>
      <c r="V9" s="190">
        <f>U9-N9</f>
        <v>-199.9999999999991</v>
      </c>
      <c r="W9" s="81">
        <f t="shared" si="4"/>
        <v>0</v>
      </c>
      <c r="X9" s="109">
        <f t="shared" si="5"/>
        <v>4489.000000000001</v>
      </c>
      <c r="Y9" s="109"/>
      <c r="Z9" s="6"/>
      <c r="AA9" s="98"/>
    </row>
    <row r="10" spans="1:27" ht="16.5" thickBot="1">
      <c r="A10" s="82"/>
      <c r="B10" s="83" t="s">
        <v>0</v>
      </c>
      <c r="C10" s="84">
        <f>SUM(C4:C9)</f>
        <v>8480</v>
      </c>
      <c r="D10" s="85">
        <v>1</v>
      </c>
      <c r="E10" s="85">
        <f>'3. ИБР'!Y11</f>
        <v>1</v>
      </c>
      <c r="F10" s="191">
        <f>ROUND((D10/E10),2)</f>
        <v>1</v>
      </c>
      <c r="G10" s="104">
        <f>G4+G5+G6+G7+G8+G9</f>
        <v>12848.7</v>
      </c>
      <c r="H10" s="104">
        <f>H4+H5+H6+H7+H8+H9</f>
        <v>19531.3</v>
      </c>
      <c r="I10" s="104">
        <f>SUM(I4:I9)</f>
        <v>32380</v>
      </c>
      <c r="J10" s="202">
        <v>7900.2</v>
      </c>
      <c r="K10" s="86"/>
      <c r="L10" s="188">
        <v>0</v>
      </c>
      <c r="M10" s="108">
        <f aca="true" t="shared" si="6" ref="M10:S10">SUM(M4:M9)</f>
        <v>0</v>
      </c>
      <c r="N10" s="106">
        <f t="shared" si="6"/>
        <v>32380</v>
      </c>
      <c r="O10" s="104">
        <f t="shared" si="6"/>
        <v>14471.5</v>
      </c>
      <c r="P10" s="104">
        <f t="shared" si="6"/>
        <v>9697</v>
      </c>
      <c r="Q10" s="104">
        <f>Q4+Q5+Q6+Q7+Q8+Q9</f>
        <v>3156.7999999999997</v>
      </c>
      <c r="R10" s="104">
        <f t="shared" si="6"/>
        <v>2164.8</v>
      </c>
      <c r="S10" s="104">
        <f t="shared" si="6"/>
        <v>718.9</v>
      </c>
      <c r="T10" s="104">
        <f>T4+T5+T6+T7+T8+T9</f>
        <v>0</v>
      </c>
      <c r="U10" s="104">
        <f>U4+U5+U6+U7+U8+U9</f>
        <v>30209</v>
      </c>
      <c r="V10" s="192">
        <f>SUM(V4:V9)</f>
        <v>-2170.999999999999</v>
      </c>
      <c r="W10" s="189">
        <f t="shared" si="4"/>
        <v>0</v>
      </c>
      <c r="X10" s="106">
        <f>X4+X5+X6+X7+X8+X9</f>
        <v>30209</v>
      </c>
      <c r="Y10" s="187"/>
      <c r="Z10" s="184"/>
      <c r="AA10" s="105"/>
    </row>
    <row r="11" spans="10:25" ht="15.75">
      <c r="J11" s="203">
        <f>J4+J5+J8+J7+J9</f>
        <v>3344.488774085879</v>
      </c>
      <c r="K11" s="14"/>
      <c r="L11" s="14"/>
      <c r="M11" s="77">
        <f>M10/(M10+V10)*100</f>
        <v>0</v>
      </c>
      <c r="N11" s="16" t="s">
        <v>46</v>
      </c>
      <c r="V11" s="78">
        <f>100-M11</f>
        <v>100</v>
      </c>
      <c r="W11" s="78" t="s">
        <v>46</v>
      </c>
      <c r="X11" s="109" t="s">
        <v>46</v>
      </c>
      <c r="Y11" s="109"/>
    </row>
    <row r="12" spans="10:25" ht="15.75">
      <c r="J12" s="17"/>
      <c r="K12" s="14"/>
      <c r="L12" s="14"/>
      <c r="M12" s="71"/>
      <c r="N12" s="14"/>
      <c r="V12" s="121">
        <f>V10+M10+H10</f>
        <v>17360.3</v>
      </c>
      <c r="W12" s="18"/>
      <c r="X12" s="109"/>
      <c r="Y12" s="109"/>
    </row>
    <row r="13" ht="15.75">
      <c r="O13" s="14"/>
    </row>
    <row r="14" ht="15.75">
      <c r="O14" s="14"/>
    </row>
    <row r="15" spans="15:22" ht="15.75">
      <c r="O15" s="14"/>
      <c r="V15" s="109">
        <f>V4+V5+V8+V9</f>
        <v>629.0000000000018</v>
      </c>
    </row>
    <row r="16" spans="15:22" ht="15.75">
      <c r="O16" s="14"/>
      <c r="V16" s="1">
        <v>656.6</v>
      </c>
    </row>
    <row r="17" ht="15.75">
      <c r="V17" s="109">
        <f>V15+V16</f>
        <v>1285.6000000000017</v>
      </c>
    </row>
    <row r="18" ht="15.75">
      <c r="V18" s="1">
        <v>6238.6</v>
      </c>
    </row>
    <row r="19" ht="15.75">
      <c r="T19" s="98">
        <f>'Расходы поселений'!O31</f>
        <v>0</v>
      </c>
    </row>
    <row r="20" ht="15.75">
      <c r="T20" s="98">
        <f>'Расходы поселений'!O32</f>
        <v>0</v>
      </c>
    </row>
    <row r="21" ht="15.75">
      <c r="T21" s="98">
        <f>'Расходы поселений'!T32</f>
        <v>0</v>
      </c>
    </row>
    <row r="22" ht="15.75">
      <c r="T22" s="98">
        <f>'Расходы поселений'!AA32</f>
        <v>0</v>
      </c>
    </row>
    <row r="23" ht="15.75">
      <c r="T23" s="98">
        <f>'Расходы поселений'!AH32</f>
        <v>0</v>
      </c>
    </row>
    <row r="24" ht="15.75">
      <c r="T24" s="99">
        <f>'Расходы поселений'!AN32</f>
        <v>0</v>
      </c>
    </row>
    <row r="27" ht="15.75">
      <c r="T27" s="13" t="s">
        <v>90</v>
      </c>
    </row>
    <row r="28" ht="15.75">
      <c r="T28" s="98">
        <f>'Расходы поселений'!G41</f>
        <v>0</v>
      </c>
    </row>
    <row r="29" ht="16.5" thickBot="1">
      <c r="T29" s="98">
        <f>'Расходы поселений'!O41</f>
        <v>0</v>
      </c>
    </row>
    <row r="30" spans="6:20" ht="16.5" thickBot="1">
      <c r="F30" s="197">
        <v>2881.2</v>
      </c>
      <c r="H30" s="1">
        <f>F30</f>
        <v>2881.2</v>
      </c>
      <c r="T30" s="98">
        <f>'Расходы поселений'!T41</f>
        <v>0</v>
      </c>
    </row>
    <row r="31" spans="6:20" ht="16.5" thickBot="1">
      <c r="F31" s="198">
        <v>2843.8</v>
      </c>
      <c r="H31" s="1">
        <f>F31</f>
        <v>2843.8</v>
      </c>
      <c r="T31" s="98">
        <f>'Расходы поселений'!AA41</f>
        <v>0</v>
      </c>
    </row>
    <row r="32" spans="6:20" ht="16.5" thickBot="1">
      <c r="F32" s="198">
        <v>1718.9</v>
      </c>
      <c r="G32" s="197">
        <v>1342.8</v>
      </c>
      <c r="H32" s="1">
        <f>F32+G32</f>
        <v>3061.7</v>
      </c>
      <c r="T32" s="98">
        <f>'Расходы поселений'!AH41</f>
        <v>0</v>
      </c>
    </row>
    <row r="33" spans="6:20" ht="16.5" thickBot="1">
      <c r="F33" s="198">
        <v>747.1</v>
      </c>
      <c r="G33" s="198">
        <v>2031.5</v>
      </c>
      <c r="H33" s="1">
        <f>F33+G33</f>
        <v>2778.6</v>
      </c>
      <c r="T33" s="99">
        <f>'Расходы поселений'!AN41</f>
        <v>0</v>
      </c>
    </row>
    <row r="34" spans="6:20" ht="16.5" thickBot="1">
      <c r="F34" s="198">
        <v>2653.5</v>
      </c>
      <c r="G34" s="198"/>
      <c r="H34" s="1">
        <f>F34+G34</f>
        <v>2653.5</v>
      </c>
      <c r="T34" s="104">
        <f>T28+T29+T30+T31+T32+T33</f>
        <v>0</v>
      </c>
    </row>
    <row r="35" spans="6:8" ht="16.5" thickBot="1">
      <c r="F35" s="198">
        <v>1111.9</v>
      </c>
      <c r="G35" s="198">
        <v>550.2</v>
      </c>
      <c r="H35" s="1">
        <f>F35+G35</f>
        <v>1662.1000000000001</v>
      </c>
    </row>
    <row r="36" spans="6:8" ht="15.75">
      <c r="F36" s="1">
        <f>SUM(F30:F35)</f>
        <v>11956.4</v>
      </c>
      <c r="G36" s="1">
        <f>SUM(G32:G35)</f>
        <v>3924.5</v>
      </c>
      <c r="H36" s="1">
        <f>SUM(H30:H35)</f>
        <v>15880.900000000001</v>
      </c>
    </row>
  </sheetData>
  <sheetProtection/>
  <mergeCells count="2">
    <mergeCell ref="A1:O1"/>
    <mergeCell ref="O2:U2"/>
  </mergeCells>
  <printOptions/>
  <pageMargins left="0.3937007874015748" right="0.3937007874015748" top="0.3937007874015748" bottom="0.3937007874015748" header="0.15748031496062992" footer="0.196850393700787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USUPOVA_N</cp:lastModifiedBy>
  <cp:lastPrinted>2021-11-12T06:55:52Z</cp:lastPrinted>
  <dcterms:created xsi:type="dcterms:W3CDTF">2005-08-11T09:57:13Z</dcterms:created>
  <dcterms:modified xsi:type="dcterms:W3CDTF">2021-11-12T06:55:54Z</dcterms:modified>
  <cp:category/>
  <cp:version/>
  <cp:contentType/>
  <cp:contentStatus/>
</cp:coreProperties>
</file>